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45" windowWidth="18195" windowHeight="11565" tabRatio="800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AVAILABILITY'!$A$17:$J$1148</definedName>
    <definedName name="_xlnm.Print_Area" localSheetId="2">'RAP-HEAVY &amp; LIGHT OIL &amp; WTI'!$A$17:$H$1149</definedName>
    <definedName name="_xlnm.Print_Area" localSheetId="0">'RAP-NATURAL GAS PRICES'!$A$17:$S$1149</definedName>
    <definedName name="_xlnm.Print_Area" localSheetId="3">'RAP-SOLID FUEL PRICES'!$A$17:$K$1149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B1098" i="4" s="1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B1044" i="4"/>
  <c r="C1044" i="4"/>
  <c r="D1044" i="4"/>
  <c r="E1044" i="4"/>
  <c r="F1044" i="4"/>
  <c r="G1044" i="4"/>
  <c r="H1044" i="4"/>
  <c r="I1044" i="4"/>
  <c r="J1044" i="4"/>
  <c r="K1044" i="4"/>
  <c r="B1045" i="4"/>
  <c r="C1045" i="4"/>
  <c r="D1045" i="4"/>
  <c r="E1045" i="4"/>
  <c r="F1045" i="4"/>
  <c r="G1045" i="4"/>
  <c r="H1045" i="4"/>
  <c r="I1045" i="4"/>
  <c r="J1045" i="4"/>
  <c r="K1045" i="4"/>
  <c r="B1046" i="4"/>
  <c r="C1046" i="4"/>
  <c r="D1046" i="4"/>
  <c r="E1046" i="4"/>
  <c r="F1046" i="4"/>
  <c r="G1046" i="4"/>
  <c r="H1046" i="4"/>
  <c r="I1046" i="4"/>
  <c r="J1046" i="4"/>
  <c r="K1046" i="4"/>
  <c r="B1047" i="4"/>
  <c r="C1047" i="4"/>
  <c r="D1047" i="4"/>
  <c r="E1047" i="4"/>
  <c r="F1047" i="4"/>
  <c r="G1047" i="4"/>
  <c r="H1047" i="4"/>
  <c r="I1047" i="4"/>
  <c r="J1047" i="4"/>
  <c r="K1047" i="4"/>
  <c r="B1048" i="4"/>
  <c r="C1048" i="4"/>
  <c r="D1048" i="4"/>
  <c r="E1048" i="4"/>
  <c r="F1048" i="4"/>
  <c r="G1048" i="4"/>
  <c r="H1048" i="4"/>
  <c r="I1048" i="4"/>
  <c r="J1048" i="4"/>
  <c r="K1048" i="4"/>
  <c r="B1049" i="4"/>
  <c r="C1049" i="4"/>
  <c r="D1049" i="4"/>
  <c r="E1049" i="4"/>
  <c r="F1049" i="4"/>
  <c r="G1049" i="4"/>
  <c r="H1049" i="4"/>
  <c r="I1049" i="4"/>
  <c r="J1049" i="4"/>
  <c r="K1049" i="4"/>
  <c r="B1050" i="4"/>
  <c r="C1050" i="4"/>
  <c r="D1050" i="4"/>
  <c r="E1050" i="4"/>
  <c r="F1050" i="4"/>
  <c r="G1050" i="4"/>
  <c r="H1050" i="4"/>
  <c r="I1050" i="4"/>
  <c r="J1050" i="4"/>
  <c r="K1050" i="4"/>
  <c r="B1051" i="4"/>
  <c r="C1051" i="4"/>
  <c r="D1051" i="4"/>
  <c r="E1051" i="4"/>
  <c r="F1051" i="4"/>
  <c r="G1051" i="4"/>
  <c r="H1051" i="4"/>
  <c r="I1051" i="4"/>
  <c r="J1051" i="4"/>
  <c r="K1051" i="4"/>
  <c r="B1052" i="4"/>
  <c r="C1052" i="4"/>
  <c r="D1052" i="4"/>
  <c r="E1052" i="4"/>
  <c r="F1052" i="4"/>
  <c r="G1052" i="4"/>
  <c r="H1052" i="4"/>
  <c r="I1052" i="4"/>
  <c r="J1052" i="4"/>
  <c r="K1052" i="4"/>
  <c r="B1053" i="4"/>
  <c r="C1053" i="4"/>
  <c r="D1053" i="4"/>
  <c r="E1053" i="4"/>
  <c r="F1053" i="4"/>
  <c r="G1053" i="4"/>
  <c r="H1053" i="4"/>
  <c r="I1053" i="4"/>
  <c r="J1053" i="4"/>
  <c r="K1053" i="4"/>
  <c r="B1054" i="4"/>
  <c r="C1054" i="4"/>
  <c r="D1054" i="4"/>
  <c r="E1054" i="4"/>
  <c r="F1054" i="4"/>
  <c r="G1054" i="4"/>
  <c r="H1054" i="4"/>
  <c r="I1054" i="4"/>
  <c r="J1054" i="4"/>
  <c r="K1054" i="4"/>
  <c r="B1055" i="4"/>
  <c r="C1055" i="4"/>
  <c r="D1055" i="4"/>
  <c r="E1055" i="4"/>
  <c r="F1055" i="4"/>
  <c r="G1055" i="4"/>
  <c r="H1055" i="4"/>
  <c r="I1055" i="4"/>
  <c r="J1055" i="4"/>
  <c r="K1055" i="4"/>
  <c r="B1056" i="4"/>
  <c r="C1056" i="4"/>
  <c r="D1056" i="4"/>
  <c r="E1056" i="4"/>
  <c r="F1056" i="4"/>
  <c r="G1056" i="4"/>
  <c r="H1056" i="4"/>
  <c r="I1056" i="4"/>
  <c r="J1056" i="4"/>
  <c r="K1056" i="4"/>
  <c r="B1057" i="4"/>
  <c r="C1057" i="4"/>
  <c r="D1057" i="4"/>
  <c r="E1057" i="4"/>
  <c r="F1057" i="4"/>
  <c r="G1057" i="4"/>
  <c r="H1057" i="4"/>
  <c r="I1057" i="4"/>
  <c r="J1057" i="4"/>
  <c r="K1057" i="4"/>
  <c r="B1058" i="4"/>
  <c r="C1058" i="4"/>
  <c r="D1058" i="4"/>
  <c r="E1058" i="4"/>
  <c r="F1058" i="4"/>
  <c r="G1058" i="4"/>
  <c r="H1058" i="4"/>
  <c r="I1058" i="4"/>
  <c r="J1058" i="4"/>
  <c r="K1058" i="4"/>
  <c r="B1059" i="4"/>
  <c r="C1059" i="4"/>
  <c r="D1059" i="4"/>
  <c r="E1059" i="4"/>
  <c r="F1059" i="4"/>
  <c r="G1059" i="4"/>
  <c r="H1059" i="4"/>
  <c r="I1059" i="4"/>
  <c r="J1059" i="4"/>
  <c r="K1059" i="4"/>
  <c r="B1060" i="4"/>
  <c r="C1060" i="4"/>
  <c r="D1060" i="4"/>
  <c r="E1060" i="4"/>
  <c r="F1060" i="4"/>
  <c r="G1060" i="4"/>
  <c r="H1060" i="4"/>
  <c r="I1060" i="4"/>
  <c r="J1060" i="4"/>
  <c r="K1060" i="4"/>
  <c r="D1062" i="4"/>
  <c r="H1062" i="4"/>
  <c r="B1063" i="4"/>
  <c r="D1064" i="4"/>
  <c r="J1065" i="4"/>
  <c r="B1067" i="4"/>
  <c r="D1067" i="4"/>
  <c r="B1068" i="4"/>
  <c r="H1068" i="4"/>
  <c r="J1068" i="4"/>
  <c r="H1069" i="4"/>
  <c r="J1069" i="4"/>
  <c r="F1070" i="4"/>
  <c r="J1070" i="4"/>
  <c r="F1071" i="4"/>
  <c r="H1071" i="4"/>
  <c r="F1072" i="4"/>
  <c r="H1072" i="4"/>
  <c r="D1073" i="4"/>
  <c r="B1074" i="4"/>
  <c r="D1074" i="4"/>
  <c r="F1074" i="4"/>
  <c r="J1075" i="4"/>
  <c r="B1076" i="4"/>
  <c r="D1077" i="4"/>
  <c r="B1080" i="4"/>
  <c r="F1080" i="4"/>
  <c r="H1081" i="4"/>
  <c r="D1083" i="4"/>
  <c r="F1083" i="4"/>
  <c r="D1084" i="4"/>
  <c r="F1084" i="4"/>
  <c r="B1086" i="4"/>
  <c r="D1086" i="4"/>
  <c r="B1087" i="4"/>
  <c r="B1089" i="4"/>
  <c r="J1091" i="4"/>
  <c r="J1092" i="4"/>
  <c r="H1094" i="4"/>
  <c r="B1095" i="4"/>
  <c r="D1095" i="4"/>
  <c r="B1096" i="4"/>
  <c r="D1096" i="4"/>
  <c r="J1097" i="4"/>
  <c r="J1098" i="4"/>
  <c r="B1099" i="4"/>
  <c r="H1100" i="4"/>
  <c r="J1100" i="4"/>
  <c r="H1103" i="4"/>
  <c r="F1106" i="4"/>
  <c r="B1108" i="4"/>
  <c r="D1109" i="4"/>
  <c r="J1109" i="4"/>
  <c r="H1110" i="4"/>
  <c r="H1112" i="4"/>
  <c r="F1113" i="4"/>
  <c r="F1115" i="4"/>
  <c r="B1118" i="4"/>
  <c r="D1118" i="4"/>
  <c r="F1118" i="4"/>
  <c r="D1119" i="4"/>
  <c r="B1121" i="4"/>
  <c r="H1122" i="4"/>
  <c r="J1122" i="4"/>
  <c r="F1125" i="4"/>
  <c r="H1125" i="4"/>
  <c r="D1127" i="4"/>
  <c r="J1129" i="4"/>
  <c r="B1130" i="4"/>
  <c r="F1132" i="4"/>
  <c r="J1133" i="4"/>
  <c r="J1135" i="4"/>
  <c r="D1136" i="4"/>
  <c r="F1136" i="4"/>
  <c r="D1138" i="4"/>
  <c r="B1139" i="4"/>
  <c r="F1140" i="4"/>
  <c r="H1140" i="4"/>
  <c r="F1141" i="4"/>
  <c r="J1142" i="4"/>
  <c r="B1143" i="4"/>
  <c r="F1144" i="4"/>
  <c r="H1144" i="4"/>
  <c r="F1145" i="4"/>
  <c r="F1146" i="4"/>
  <c r="J1146" i="4"/>
  <c r="B1147" i="4"/>
  <c r="F1148" i="4"/>
  <c r="C13" i="3"/>
  <c r="E13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49" i="3"/>
  <c r="C1049" i="3"/>
  <c r="D1049" i="3"/>
  <c r="E1049" i="3"/>
  <c r="B1050" i="3"/>
  <c r="C1050" i="3"/>
  <c r="D1050" i="3"/>
  <c r="E1050" i="3"/>
  <c r="B1051" i="3"/>
  <c r="C1051" i="3"/>
  <c r="D1051" i="3"/>
  <c r="E1051" i="3"/>
  <c r="B1052" i="3"/>
  <c r="C1052" i="3"/>
  <c r="D1052" i="3"/>
  <c r="E1052" i="3"/>
  <c r="B1053" i="3"/>
  <c r="C1053" i="3"/>
  <c r="D1053" i="3"/>
  <c r="E1053" i="3"/>
  <c r="B1054" i="3"/>
  <c r="C1054" i="3"/>
  <c r="D1054" i="3"/>
  <c r="E1054" i="3"/>
  <c r="B1055" i="3"/>
  <c r="C1055" i="3"/>
  <c r="D1055" i="3"/>
  <c r="E1055" i="3"/>
  <c r="B1056" i="3"/>
  <c r="C1056" i="3"/>
  <c r="D1056" i="3"/>
  <c r="E1056" i="3"/>
  <c r="B1057" i="3"/>
  <c r="C1057" i="3"/>
  <c r="D1057" i="3"/>
  <c r="E1057" i="3"/>
  <c r="B1058" i="3"/>
  <c r="C1058" i="3"/>
  <c r="D1058" i="3"/>
  <c r="E1058" i="3"/>
  <c r="B1059" i="3"/>
  <c r="C1059" i="3"/>
  <c r="D1059" i="3"/>
  <c r="E1059" i="3"/>
  <c r="B1060" i="3"/>
  <c r="C1060" i="3"/>
  <c r="D1060" i="3"/>
  <c r="E1060" i="3"/>
  <c r="B1062" i="3"/>
  <c r="C1062" i="3"/>
  <c r="D1062" i="3"/>
  <c r="E1062" i="3"/>
  <c r="C1063" i="3"/>
  <c r="D1063" i="3"/>
  <c r="E1063" i="3"/>
  <c r="C1064" i="3"/>
  <c r="D1064" i="3"/>
  <c r="E1064" i="3"/>
  <c r="C1065" i="3"/>
  <c r="D1065" i="3"/>
  <c r="E1065" i="3"/>
  <c r="C1066" i="3"/>
  <c r="D1066" i="3"/>
  <c r="E1066" i="3"/>
  <c r="C1067" i="3"/>
  <c r="D1067" i="3"/>
  <c r="E1067" i="3"/>
  <c r="C1068" i="3"/>
  <c r="D1068" i="3"/>
  <c r="E1068" i="3"/>
  <c r="C1069" i="3"/>
  <c r="D1069" i="3"/>
  <c r="E1069" i="3"/>
  <c r="B1070" i="3"/>
  <c r="C1070" i="3"/>
  <c r="D1070" i="3"/>
  <c r="E1070" i="3"/>
  <c r="C1071" i="3"/>
  <c r="D1071" i="3"/>
  <c r="E1071" i="3"/>
  <c r="C1072" i="3"/>
  <c r="D1072" i="3"/>
  <c r="E1072" i="3"/>
  <c r="C1073" i="3"/>
  <c r="D1073" i="3"/>
  <c r="E1073" i="3"/>
  <c r="C1074" i="3"/>
  <c r="D1074" i="3"/>
  <c r="E1074" i="3"/>
  <c r="C1075" i="3"/>
  <c r="D1075" i="3"/>
  <c r="E1075" i="3"/>
  <c r="C1076" i="3"/>
  <c r="D1076" i="3"/>
  <c r="E1076" i="3"/>
  <c r="C1077" i="3"/>
  <c r="D1077" i="3"/>
  <c r="E1077" i="3"/>
  <c r="C1078" i="3"/>
  <c r="D1078" i="3"/>
  <c r="E1078" i="3"/>
  <c r="C1079" i="3"/>
  <c r="D1079" i="3"/>
  <c r="E1079" i="3"/>
  <c r="C1080" i="3"/>
  <c r="D1080" i="3"/>
  <c r="E1080" i="3"/>
  <c r="C1081" i="3"/>
  <c r="D1081" i="3"/>
  <c r="E1081" i="3"/>
  <c r="C1082" i="3"/>
  <c r="D1082" i="3"/>
  <c r="E1082" i="3"/>
  <c r="C1083" i="3"/>
  <c r="D1083" i="3"/>
  <c r="E1083" i="3"/>
  <c r="B1084" i="3"/>
  <c r="C1084" i="3"/>
  <c r="D1084" i="3"/>
  <c r="E1084" i="3"/>
  <c r="C1085" i="3"/>
  <c r="D1085" i="3"/>
  <c r="E1085" i="3"/>
  <c r="A1086" i="3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C1086" i="3"/>
  <c r="E1086" i="3"/>
  <c r="C1087" i="3"/>
  <c r="D1087" i="3"/>
  <c r="E1087" i="3"/>
  <c r="C1088" i="3"/>
  <c r="D1088" i="3"/>
  <c r="E1088" i="3"/>
  <c r="E1089" i="3"/>
  <c r="C1090" i="3"/>
  <c r="D1090" i="3"/>
  <c r="E1090" i="3"/>
  <c r="E1091" i="3"/>
  <c r="C1092" i="3"/>
  <c r="E1092" i="3"/>
  <c r="C1093" i="3"/>
  <c r="E1093" i="3"/>
  <c r="E1094" i="3"/>
  <c r="C1095" i="3"/>
  <c r="D1095" i="3"/>
  <c r="D1096" i="3"/>
  <c r="E1096" i="3"/>
  <c r="C1098" i="3"/>
  <c r="E1098" i="3"/>
  <c r="D1099" i="3"/>
  <c r="E1099" i="3"/>
  <c r="C1100" i="3"/>
  <c r="D1101" i="3"/>
  <c r="E1101" i="3"/>
  <c r="E1102" i="3"/>
  <c r="C1103" i="3"/>
  <c r="C1104" i="3"/>
  <c r="D1104" i="3"/>
  <c r="E1104" i="3"/>
  <c r="B1106" i="3"/>
  <c r="D1106" i="3"/>
  <c r="E1106" i="3"/>
  <c r="D1107" i="3"/>
  <c r="E1107" i="3"/>
  <c r="C1108" i="3"/>
  <c r="C1109" i="3"/>
  <c r="D1109" i="3"/>
  <c r="E1109" i="3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2" i="2"/>
  <c r="C1062" i="2"/>
  <c r="D1062" i="2"/>
  <c r="E1062" i="2"/>
  <c r="F1062" i="2"/>
  <c r="G1062" i="2"/>
  <c r="I1062" i="2"/>
  <c r="J1062" i="2"/>
  <c r="B1063" i="2"/>
  <c r="C1063" i="2"/>
  <c r="D1063" i="2"/>
  <c r="E1063" i="2"/>
  <c r="F1063" i="2"/>
  <c r="G1063" i="2"/>
  <c r="I1063" i="2"/>
  <c r="J1063" i="2"/>
  <c r="B1064" i="2"/>
  <c r="C1064" i="2"/>
  <c r="D1064" i="2"/>
  <c r="E1064" i="2"/>
  <c r="F1064" i="2"/>
  <c r="G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B1073" i="2"/>
  <c r="C1073" i="2"/>
  <c r="D1073" i="2"/>
  <c r="E1073" i="2"/>
  <c r="F1073" i="2"/>
  <c r="G1073" i="2"/>
  <c r="H1073" i="2"/>
  <c r="I1073" i="2"/>
  <c r="J1073" i="2"/>
  <c r="B1074" i="2"/>
  <c r="C1074" i="2"/>
  <c r="D1074" i="2"/>
  <c r="E1074" i="2"/>
  <c r="F1074" i="2"/>
  <c r="G1074" i="2"/>
  <c r="H1074" i="2"/>
  <c r="I1074" i="2"/>
  <c r="J1074" i="2"/>
  <c r="B1075" i="2"/>
  <c r="C1075" i="2"/>
  <c r="D1075" i="2"/>
  <c r="E1075" i="2"/>
  <c r="F1075" i="2"/>
  <c r="G1075" i="2"/>
  <c r="H1075" i="2"/>
  <c r="I1075" i="2"/>
  <c r="J1075" i="2"/>
  <c r="B1076" i="2"/>
  <c r="C1076" i="2"/>
  <c r="D1076" i="2"/>
  <c r="E1076" i="2"/>
  <c r="F1076" i="2"/>
  <c r="G1076" i="2"/>
  <c r="H1076" i="2"/>
  <c r="I1076" i="2"/>
  <c r="J1076" i="2"/>
  <c r="B1077" i="2"/>
  <c r="C1077" i="2"/>
  <c r="D1077" i="2"/>
  <c r="E1077" i="2"/>
  <c r="F1077" i="2"/>
  <c r="G1077" i="2"/>
  <c r="H1077" i="2"/>
  <c r="I1077" i="2"/>
  <c r="J1077" i="2"/>
  <c r="B1078" i="2"/>
  <c r="C1078" i="2"/>
  <c r="D1078" i="2"/>
  <c r="E1078" i="2"/>
  <c r="F1078" i="2"/>
  <c r="G1078" i="2"/>
  <c r="H1078" i="2"/>
  <c r="I1078" i="2"/>
  <c r="J1078" i="2"/>
  <c r="B1079" i="2"/>
  <c r="C1079" i="2"/>
  <c r="D1079" i="2"/>
  <c r="E1079" i="2"/>
  <c r="F1079" i="2"/>
  <c r="G1079" i="2"/>
  <c r="H1079" i="2"/>
  <c r="I1079" i="2"/>
  <c r="J1079" i="2"/>
  <c r="B1080" i="2"/>
  <c r="C1080" i="2"/>
  <c r="D1080" i="2"/>
  <c r="E1080" i="2"/>
  <c r="F1080" i="2"/>
  <c r="G1080" i="2"/>
  <c r="H1080" i="2"/>
  <c r="I1080" i="2"/>
  <c r="J1080" i="2"/>
  <c r="B1081" i="2"/>
  <c r="C1081" i="2"/>
  <c r="D1081" i="2"/>
  <c r="E1081" i="2"/>
  <c r="F1081" i="2"/>
  <c r="G1081" i="2"/>
  <c r="H1081" i="2"/>
  <c r="I1081" i="2"/>
  <c r="J1081" i="2"/>
  <c r="B1082" i="2"/>
  <c r="C1082" i="2"/>
  <c r="D1082" i="2"/>
  <c r="E1082" i="2"/>
  <c r="F1082" i="2"/>
  <c r="G1082" i="2"/>
  <c r="H1082" i="2"/>
  <c r="I1082" i="2"/>
  <c r="J1082" i="2"/>
  <c r="B1083" i="2"/>
  <c r="C1083" i="2"/>
  <c r="D1083" i="2"/>
  <c r="E1083" i="2"/>
  <c r="F1083" i="2"/>
  <c r="G1083" i="2"/>
  <c r="H1083" i="2"/>
  <c r="I1083" i="2"/>
  <c r="J1083" i="2"/>
  <c r="B1084" i="2"/>
  <c r="C1084" i="2"/>
  <c r="D1084" i="2"/>
  <c r="E1084" i="2"/>
  <c r="F1084" i="2"/>
  <c r="G1084" i="2"/>
  <c r="H1084" i="2"/>
  <c r="I1084" i="2"/>
  <c r="J1084" i="2"/>
  <c r="B1085" i="2"/>
  <c r="C1085" i="2"/>
  <c r="D1085" i="2"/>
  <c r="E1085" i="2"/>
  <c r="F1085" i="2"/>
  <c r="G1085" i="2"/>
  <c r="H1085" i="2"/>
  <c r="I1085" i="2"/>
  <c r="J1085" i="2"/>
  <c r="A1086" i="2"/>
  <c r="A1087" i="2" s="1"/>
  <c r="C1086" i="2"/>
  <c r="D1086" i="2"/>
  <c r="E1086" i="2"/>
  <c r="F1086" i="2"/>
  <c r="G1086" i="2"/>
  <c r="H1086" i="2"/>
  <c r="I1086" i="2"/>
  <c r="J1086" i="2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C1097" i="2"/>
  <c r="D1097" i="2"/>
  <c r="E1097" i="2"/>
  <c r="F1097" i="2"/>
  <c r="G1097" i="2"/>
  <c r="H1097" i="2"/>
  <c r="I1097" i="2"/>
  <c r="J1097" i="2"/>
  <c r="C1098" i="2"/>
  <c r="D1098" i="2"/>
  <c r="E1098" i="2"/>
  <c r="F1098" i="2"/>
  <c r="G1098" i="2"/>
  <c r="H1098" i="2"/>
  <c r="I1098" i="2"/>
  <c r="J1098" i="2"/>
  <c r="C1099" i="2"/>
  <c r="D1099" i="2"/>
  <c r="E1099" i="2"/>
  <c r="F1099" i="2"/>
  <c r="G1099" i="2"/>
  <c r="H1099" i="2"/>
  <c r="I1099" i="2"/>
  <c r="J1099" i="2"/>
  <c r="C1100" i="2"/>
  <c r="D1100" i="2"/>
  <c r="E1100" i="2"/>
  <c r="F1100" i="2"/>
  <c r="G1100" i="2"/>
  <c r="H1100" i="2"/>
  <c r="I1100" i="2"/>
  <c r="J1100" i="2"/>
  <c r="C1101" i="2"/>
  <c r="D1101" i="2"/>
  <c r="E1101" i="2"/>
  <c r="F1101" i="2"/>
  <c r="G1101" i="2"/>
  <c r="H1101" i="2"/>
  <c r="I1101" i="2"/>
  <c r="J1101" i="2"/>
  <c r="C1102" i="2"/>
  <c r="D1102" i="2"/>
  <c r="E1102" i="2"/>
  <c r="F1102" i="2"/>
  <c r="G1102" i="2"/>
  <c r="H1102" i="2"/>
  <c r="I1102" i="2"/>
  <c r="J1102" i="2"/>
  <c r="C1103" i="2"/>
  <c r="D1103" i="2"/>
  <c r="E1103" i="2"/>
  <c r="F1103" i="2"/>
  <c r="G1103" i="2"/>
  <c r="H1103" i="2"/>
  <c r="I1103" i="2"/>
  <c r="J1103" i="2"/>
  <c r="C1104" i="2"/>
  <c r="D1104" i="2"/>
  <c r="E1104" i="2"/>
  <c r="F1104" i="2"/>
  <c r="G1104" i="2"/>
  <c r="H1104" i="2"/>
  <c r="I1104" i="2"/>
  <c r="J1104" i="2"/>
  <c r="C1105" i="2"/>
  <c r="D1105" i="2"/>
  <c r="E1105" i="2"/>
  <c r="F1105" i="2"/>
  <c r="G1105" i="2"/>
  <c r="H1105" i="2"/>
  <c r="I1105" i="2"/>
  <c r="J1105" i="2"/>
  <c r="C1106" i="2"/>
  <c r="D1106" i="2"/>
  <c r="E1106" i="2"/>
  <c r="F1106" i="2"/>
  <c r="G1106" i="2"/>
  <c r="H1106" i="2"/>
  <c r="I1106" i="2"/>
  <c r="J1106" i="2"/>
  <c r="C1107" i="2"/>
  <c r="D1107" i="2"/>
  <c r="E1107" i="2"/>
  <c r="F1107" i="2"/>
  <c r="G1107" i="2"/>
  <c r="H1107" i="2"/>
  <c r="I1107" i="2"/>
  <c r="J1107" i="2"/>
  <c r="C1108" i="2"/>
  <c r="D1108" i="2"/>
  <c r="E1108" i="2"/>
  <c r="F1108" i="2"/>
  <c r="G1108" i="2"/>
  <c r="H1108" i="2"/>
  <c r="I1108" i="2"/>
  <c r="J1108" i="2"/>
  <c r="C1109" i="2"/>
  <c r="D1109" i="2"/>
  <c r="E1109" i="2"/>
  <c r="F1109" i="2"/>
  <c r="G1109" i="2"/>
  <c r="H1109" i="2"/>
  <c r="I1109" i="2"/>
  <c r="J1109" i="2"/>
  <c r="D11" i="1"/>
  <c r="F11" i="1"/>
  <c r="B22" i="1"/>
  <c r="C22" i="1"/>
  <c r="D22" i="1"/>
  <c r="E22" i="1"/>
  <c r="F22" i="1"/>
  <c r="G22" i="1"/>
  <c r="H22" i="1"/>
  <c r="I22" i="1"/>
  <c r="J22" i="1"/>
  <c r="K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R1062" i="1" s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K29" i="1"/>
  <c r="R29" i="1"/>
  <c r="B30" i="1"/>
  <c r="C30" i="1"/>
  <c r="D30" i="1"/>
  <c r="E30" i="1"/>
  <c r="F30" i="1"/>
  <c r="G30" i="1"/>
  <c r="H30" i="1"/>
  <c r="I30" i="1"/>
  <c r="J30" i="1"/>
  <c r="K30" i="1"/>
  <c r="R30" i="1"/>
  <c r="B31" i="1"/>
  <c r="C31" i="1"/>
  <c r="D31" i="1"/>
  <c r="E31" i="1"/>
  <c r="F31" i="1"/>
  <c r="G31" i="1"/>
  <c r="H31" i="1"/>
  <c r="I31" i="1"/>
  <c r="J31" i="1"/>
  <c r="K31" i="1"/>
  <c r="R31" i="1"/>
  <c r="B32" i="1"/>
  <c r="C32" i="1"/>
  <c r="D32" i="1"/>
  <c r="E32" i="1"/>
  <c r="F32" i="1"/>
  <c r="G32" i="1"/>
  <c r="H32" i="1"/>
  <c r="I32" i="1"/>
  <c r="J32" i="1"/>
  <c r="K32" i="1"/>
  <c r="R32" i="1"/>
  <c r="B33" i="1"/>
  <c r="C33" i="1"/>
  <c r="D33" i="1"/>
  <c r="E33" i="1"/>
  <c r="F33" i="1"/>
  <c r="G33" i="1"/>
  <c r="H33" i="1"/>
  <c r="I33" i="1"/>
  <c r="J33" i="1"/>
  <c r="K33" i="1"/>
  <c r="R33" i="1"/>
  <c r="B34" i="1"/>
  <c r="C34" i="1"/>
  <c r="D34" i="1"/>
  <c r="E34" i="1"/>
  <c r="F34" i="1"/>
  <c r="G34" i="1"/>
  <c r="H34" i="1"/>
  <c r="I34" i="1"/>
  <c r="J34" i="1"/>
  <c r="K34" i="1"/>
  <c r="R34" i="1"/>
  <c r="B35" i="1"/>
  <c r="C35" i="1"/>
  <c r="D35" i="1"/>
  <c r="E35" i="1"/>
  <c r="F35" i="1"/>
  <c r="G35" i="1"/>
  <c r="H35" i="1"/>
  <c r="I35" i="1"/>
  <c r="J35" i="1"/>
  <c r="K35" i="1"/>
  <c r="R35" i="1"/>
  <c r="B36" i="1"/>
  <c r="C36" i="1"/>
  <c r="D36" i="1"/>
  <c r="E36" i="1"/>
  <c r="F36" i="1"/>
  <c r="G36" i="1"/>
  <c r="H36" i="1"/>
  <c r="I36" i="1"/>
  <c r="J36" i="1"/>
  <c r="K36" i="1"/>
  <c r="R36" i="1"/>
  <c r="B37" i="1"/>
  <c r="C37" i="1"/>
  <c r="D37" i="1"/>
  <c r="E37" i="1"/>
  <c r="F37" i="1"/>
  <c r="G37" i="1"/>
  <c r="H37" i="1"/>
  <c r="I37" i="1"/>
  <c r="J37" i="1"/>
  <c r="K37" i="1"/>
  <c r="R37" i="1"/>
  <c r="B38" i="1"/>
  <c r="C38" i="1"/>
  <c r="D38" i="1"/>
  <c r="E38" i="1"/>
  <c r="F38" i="1"/>
  <c r="G38" i="1"/>
  <c r="H38" i="1"/>
  <c r="I38" i="1"/>
  <c r="J38" i="1"/>
  <c r="K38" i="1"/>
  <c r="R38" i="1"/>
  <c r="B39" i="1"/>
  <c r="C39" i="1"/>
  <c r="D39" i="1"/>
  <c r="E39" i="1"/>
  <c r="F39" i="1"/>
  <c r="G39" i="1"/>
  <c r="H39" i="1"/>
  <c r="I39" i="1"/>
  <c r="J39" i="1"/>
  <c r="K39" i="1"/>
  <c r="R39" i="1"/>
  <c r="B40" i="1"/>
  <c r="C40" i="1"/>
  <c r="D40" i="1"/>
  <c r="E40" i="1"/>
  <c r="F40" i="1"/>
  <c r="G40" i="1"/>
  <c r="H40" i="1"/>
  <c r="I40" i="1"/>
  <c r="J40" i="1"/>
  <c r="K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R45" i="1"/>
  <c r="B46" i="1"/>
  <c r="C46" i="1"/>
  <c r="D46" i="1"/>
  <c r="E46" i="1"/>
  <c r="F46" i="1"/>
  <c r="G46" i="1"/>
  <c r="H46" i="1"/>
  <c r="I46" i="1"/>
  <c r="J46" i="1"/>
  <c r="R46" i="1"/>
  <c r="B47" i="1"/>
  <c r="C47" i="1"/>
  <c r="D47" i="1"/>
  <c r="E47" i="1"/>
  <c r="F47" i="1"/>
  <c r="G47" i="1"/>
  <c r="H47" i="1"/>
  <c r="I47" i="1"/>
  <c r="J47" i="1"/>
  <c r="R47" i="1"/>
  <c r="B48" i="1"/>
  <c r="C48" i="1"/>
  <c r="D48" i="1"/>
  <c r="E48" i="1"/>
  <c r="F48" i="1"/>
  <c r="G48" i="1"/>
  <c r="H48" i="1"/>
  <c r="I48" i="1"/>
  <c r="J48" i="1"/>
  <c r="R48" i="1"/>
  <c r="B49" i="1"/>
  <c r="C49" i="1"/>
  <c r="D49" i="1"/>
  <c r="E49" i="1"/>
  <c r="F49" i="1"/>
  <c r="G49" i="1"/>
  <c r="H49" i="1"/>
  <c r="I49" i="1"/>
  <c r="J49" i="1"/>
  <c r="R49" i="1"/>
  <c r="B50" i="1"/>
  <c r="C50" i="1"/>
  <c r="D50" i="1"/>
  <c r="E50" i="1"/>
  <c r="F50" i="1"/>
  <c r="G50" i="1"/>
  <c r="H50" i="1"/>
  <c r="I50" i="1"/>
  <c r="J50" i="1"/>
  <c r="R50" i="1"/>
  <c r="B51" i="1"/>
  <c r="C51" i="1"/>
  <c r="D51" i="1"/>
  <c r="E51" i="1"/>
  <c r="F51" i="1"/>
  <c r="G51" i="1"/>
  <c r="H51" i="1"/>
  <c r="I51" i="1"/>
  <c r="J51" i="1"/>
  <c r="R51" i="1"/>
  <c r="B52" i="1"/>
  <c r="C52" i="1"/>
  <c r="D52" i="1"/>
  <c r="E52" i="1"/>
  <c r="F52" i="1"/>
  <c r="G52" i="1"/>
  <c r="H52" i="1"/>
  <c r="I52" i="1"/>
  <c r="J52" i="1"/>
  <c r="R52" i="1"/>
  <c r="B53" i="1"/>
  <c r="C53" i="1"/>
  <c r="D53" i="1"/>
  <c r="E53" i="1"/>
  <c r="F53" i="1"/>
  <c r="G53" i="1"/>
  <c r="H53" i="1"/>
  <c r="I53" i="1"/>
  <c r="J53" i="1"/>
  <c r="R53" i="1"/>
  <c r="B54" i="1"/>
  <c r="C54" i="1"/>
  <c r="D54" i="1"/>
  <c r="E54" i="1"/>
  <c r="F54" i="1"/>
  <c r="G54" i="1"/>
  <c r="H54" i="1"/>
  <c r="I54" i="1"/>
  <c r="J54" i="1"/>
  <c r="R54" i="1"/>
  <c r="B55" i="1"/>
  <c r="C55" i="1"/>
  <c r="D55" i="1"/>
  <c r="E55" i="1"/>
  <c r="F55" i="1"/>
  <c r="G55" i="1"/>
  <c r="H55" i="1"/>
  <c r="I55" i="1"/>
  <c r="J55" i="1"/>
  <c r="R55" i="1"/>
  <c r="B56" i="1"/>
  <c r="C56" i="1"/>
  <c r="D56" i="1"/>
  <c r="E56" i="1"/>
  <c r="F56" i="1"/>
  <c r="G56" i="1"/>
  <c r="H56" i="1"/>
  <c r="I56" i="1"/>
  <c r="J56" i="1"/>
  <c r="R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J1124" i="1" s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B1125" i="1" s="1"/>
  <c r="C773" i="1"/>
  <c r="D773" i="1"/>
  <c r="E773" i="1"/>
  <c r="F773" i="1"/>
  <c r="G773" i="1"/>
  <c r="H773" i="1"/>
  <c r="I773" i="1"/>
  <c r="J773" i="1"/>
  <c r="J1125" i="1" s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B1126" i="1" s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J1128" i="1" s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B1129" i="1" s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G1133" i="1" s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F1134" i="1" s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J1143" i="1" s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B1144" i="1" s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G1145" i="1" s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C1146" i="1" s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B1049" i="1"/>
  <c r="C1049" i="1"/>
  <c r="D1049" i="1"/>
  <c r="E1049" i="1"/>
  <c r="F1049" i="1"/>
  <c r="G1049" i="1"/>
  <c r="H1049" i="1"/>
  <c r="I1049" i="1"/>
  <c r="J1049" i="1"/>
  <c r="B1050" i="1"/>
  <c r="C1050" i="1"/>
  <c r="D1050" i="1"/>
  <c r="E1050" i="1"/>
  <c r="F1050" i="1"/>
  <c r="G1050" i="1"/>
  <c r="H1050" i="1"/>
  <c r="I1050" i="1"/>
  <c r="J1050" i="1"/>
  <c r="B1051" i="1"/>
  <c r="C1051" i="1"/>
  <c r="D1051" i="1"/>
  <c r="E1051" i="1"/>
  <c r="F1051" i="1"/>
  <c r="G1051" i="1"/>
  <c r="H1051" i="1"/>
  <c r="I1051" i="1"/>
  <c r="J1051" i="1"/>
  <c r="B1052" i="1"/>
  <c r="C1052" i="1"/>
  <c r="D1052" i="1"/>
  <c r="E1052" i="1"/>
  <c r="F1052" i="1"/>
  <c r="G1052" i="1"/>
  <c r="H1052" i="1"/>
  <c r="I1052" i="1"/>
  <c r="J1052" i="1"/>
  <c r="B1053" i="1"/>
  <c r="C1053" i="1"/>
  <c r="D1053" i="1"/>
  <c r="E1053" i="1"/>
  <c r="F1053" i="1"/>
  <c r="G1053" i="1"/>
  <c r="H1053" i="1"/>
  <c r="I1053" i="1"/>
  <c r="J1053" i="1"/>
  <c r="B1054" i="1"/>
  <c r="C1054" i="1"/>
  <c r="D1054" i="1"/>
  <c r="E1054" i="1"/>
  <c r="F1054" i="1"/>
  <c r="G1054" i="1"/>
  <c r="H1054" i="1"/>
  <c r="I1054" i="1"/>
  <c r="J1054" i="1"/>
  <c r="B1055" i="1"/>
  <c r="C1055" i="1"/>
  <c r="D1055" i="1"/>
  <c r="E1055" i="1"/>
  <c r="F1055" i="1"/>
  <c r="G1055" i="1"/>
  <c r="H1055" i="1"/>
  <c r="I1055" i="1"/>
  <c r="J1055" i="1"/>
  <c r="B1056" i="1"/>
  <c r="C1056" i="1"/>
  <c r="D1056" i="1"/>
  <c r="E1056" i="1"/>
  <c r="F1056" i="1"/>
  <c r="G1056" i="1"/>
  <c r="H1056" i="1"/>
  <c r="I1056" i="1"/>
  <c r="J1056" i="1"/>
  <c r="B1057" i="1"/>
  <c r="C1057" i="1"/>
  <c r="D1057" i="1"/>
  <c r="E1057" i="1"/>
  <c r="F1057" i="1"/>
  <c r="G1057" i="1"/>
  <c r="H1057" i="1"/>
  <c r="I1057" i="1"/>
  <c r="J1057" i="1"/>
  <c r="B1058" i="1"/>
  <c r="C1058" i="1"/>
  <c r="D1058" i="1"/>
  <c r="E1058" i="1"/>
  <c r="F1058" i="1"/>
  <c r="G1058" i="1"/>
  <c r="H1058" i="1"/>
  <c r="I1058" i="1"/>
  <c r="J1058" i="1"/>
  <c r="B1059" i="1"/>
  <c r="C1059" i="1"/>
  <c r="D1059" i="1"/>
  <c r="E1059" i="1"/>
  <c r="F1059" i="1"/>
  <c r="G1059" i="1"/>
  <c r="H1059" i="1"/>
  <c r="I1059" i="1"/>
  <c r="J1059" i="1"/>
  <c r="B1060" i="1"/>
  <c r="C1060" i="1"/>
  <c r="D1060" i="1"/>
  <c r="E1060" i="1"/>
  <c r="F1060" i="1"/>
  <c r="G1060" i="1"/>
  <c r="H1060" i="1"/>
  <c r="I1060" i="1"/>
  <c r="J1060" i="1"/>
  <c r="D1062" i="1"/>
  <c r="F1062" i="1"/>
  <c r="H1062" i="1"/>
  <c r="L1062" i="1"/>
  <c r="M1062" i="1"/>
  <c r="N1062" i="1"/>
  <c r="O1062" i="1"/>
  <c r="P1062" i="1"/>
  <c r="S1062" i="1"/>
  <c r="D1063" i="1"/>
  <c r="E1063" i="1"/>
  <c r="L1063" i="1"/>
  <c r="M1063" i="1"/>
  <c r="N1063" i="1"/>
  <c r="O1063" i="1"/>
  <c r="P1063" i="1"/>
  <c r="R1063" i="1"/>
  <c r="S1063" i="1"/>
  <c r="C1064" i="1"/>
  <c r="D1064" i="1"/>
  <c r="E1064" i="1"/>
  <c r="G1064" i="1"/>
  <c r="H1064" i="1"/>
  <c r="L1064" i="1"/>
  <c r="M1064" i="1"/>
  <c r="N1064" i="1"/>
  <c r="O1064" i="1"/>
  <c r="P1064" i="1"/>
  <c r="R1064" i="1"/>
  <c r="B1065" i="1"/>
  <c r="F1065" i="1"/>
  <c r="G1065" i="1"/>
  <c r="L1065" i="1"/>
  <c r="M1065" i="1"/>
  <c r="N1065" i="1"/>
  <c r="O1065" i="1"/>
  <c r="P1065" i="1"/>
  <c r="Q1065" i="1"/>
  <c r="H1066" i="1"/>
  <c r="I1066" i="1"/>
  <c r="L1066" i="1"/>
  <c r="M1066" i="1"/>
  <c r="N1066" i="1"/>
  <c r="O1066" i="1"/>
  <c r="P1066" i="1"/>
  <c r="Q1066" i="1"/>
  <c r="B1067" i="1"/>
  <c r="D1067" i="1"/>
  <c r="I1067" i="1"/>
  <c r="J1067" i="1"/>
  <c r="L1067" i="1"/>
  <c r="M1067" i="1"/>
  <c r="N1067" i="1"/>
  <c r="O1067" i="1"/>
  <c r="P1067" i="1"/>
  <c r="Q1067" i="1"/>
  <c r="C1068" i="1"/>
  <c r="E1068" i="1"/>
  <c r="L1068" i="1"/>
  <c r="M1068" i="1"/>
  <c r="N1068" i="1"/>
  <c r="O1068" i="1"/>
  <c r="P1068" i="1"/>
  <c r="Q1068" i="1"/>
  <c r="D1069" i="1"/>
  <c r="F1069" i="1"/>
  <c r="L1069" i="1"/>
  <c r="M1069" i="1"/>
  <c r="N1069" i="1"/>
  <c r="O1069" i="1"/>
  <c r="P1069" i="1"/>
  <c r="Q1069" i="1"/>
  <c r="C1070" i="1"/>
  <c r="E1070" i="1"/>
  <c r="G1070" i="1"/>
  <c r="L1070" i="1"/>
  <c r="M1070" i="1"/>
  <c r="N1070" i="1"/>
  <c r="O1070" i="1"/>
  <c r="P1070" i="1"/>
  <c r="Q1070" i="1"/>
  <c r="D1071" i="1"/>
  <c r="E1071" i="1"/>
  <c r="F1071" i="1"/>
  <c r="L1071" i="1"/>
  <c r="M1071" i="1"/>
  <c r="N1071" i="1"/>
  <c r="O1071" i="1"/>
  <c r="P1071" i="1"/>
  <c r="Q1071" i="1"/>
  <c r="E1072" i="1"/>
  <c r="I1072" i="1"/>
  <c r="J1072" i="1"/>
  <c r="L1072" i="1"/>
  <c r="M1072" i="1"/>
  <c r="N1072" i="1"/>
  <c r="O1072" i="1"/>
  <c r="P1072" i="1"/>
  <c r="Q1072" i="1"/>
  <c r="B1073" i="1"/>
  <c r="G1073" i="1"/>
  <c r="H1073" i="1"/>
  <c r="L1073" i="1"/>
  <c r="M1073" i="1"/>
  <c r="N1073" i="1"/>
  <c r="O1073" i="1"/>
  <c r="P1073" i="1"/>
  <c r="Q1073" i="1"/>
  <c r="C1074" i="1"/>
  <c r="I1074" i="1"/>
  <c r="L1074" i="1"/>
  <c r="M1074" i="1"/>
  <c r="N1074" i="1"/>
  <c r="O1074" i="1"/>
  <c r="P1074" i="1"/>
  <c r="Q1074" i="1"/>
  <c r="E1075" i="1"/>
  <c r="I1075" i="1"/>
  <c r="J1075" i="1"/>
  <c r="L1075" i="1"/>
  <c r="M1075" i="1"/>
  <c r="N1075" i="1"/>
  <c r="O1075" i="1"/>
  <c r="P1075" i="1"/>
  <c r="Q1075" i="1"/>
  <c r="B1076" i="1"/>
  <c r="C1076" i="1"/>
  <c r="E1076" i="1"/>
  <c r="L1076" i="1"/>
  <c r="M1076" i="1"/>
  <c r="N1076" i="1"/>
  <c r="O1076" i="1"/>
  <c r="P1076" i="1"/>
  <c r="Q1076" i="1"/>
  <c r="C1077" i="1"/>
  <c r="G1077" i="1"/>
  <c r="J1077" i="1"/>
  <c r="L1077" i="1"/>
  <c r="M1077" i="1"/>
  <c r="N1077" i="1"/>
  <c r="O1077" i="1"/>
  <c r="P1077" i="1"/>
  <c r="Q1077" i="1"/>
  <c r="C1078" i="1"/>
  <c r="D1078" i="1"/>
  <c r="L1078" i="1"/>
  <c r="M1078" i="1"/>
  <c r="N1078" i="1"/>
  <c r="O1078" i="1"/>
  <c r="P1078" i="1"/>
  <c r="Q1078" i="1"/>
  <c r="F1079" i="1"/>
  <c r="L1079" i="1"/>
  <c r="M1079" i="1"/>
  <c r="N1079" i="1"/>
  <c r="O1079" i="1"/>
  <c r="P1079" i="1"/>
  <c r="Q1079" i="1"/>
  <c r="B1080" i="1"/>
  <c r="G1080" i="1"/>
  <c r="I1080" i="1"/>
  <c r="L1080" i="1"/>
  <c r="M1080" i="1"/>
  <c r="N1080" i="1"/>
  <c r="O1080" i="1"/>
  <c r="P1080" i="1"/>
  <c r="Q1080" i="1"/>
  <c r="B1081" i="1"/>
  <c r="G1081" i="1"/>
  <c r="H1081" i="1"/>
  <c r="L1081" i="1"/>
  <c r="M1081" i="1"/>
  <c r="N1081" i="1"/>
  <c r="O1081" i="1"/>
  <c r="P1081" i="1"/>
  <c r="Q1081" i="1"/>
  <c r="C1082" i="1"/>
  <c r="G1082" i="1"/>
  <c r="H1082" i="1"/>
  <c r="L1082" i="1"/>
  <c r="M1082" i="1"/>
  <c r="N1082" i="1"/>
  <c r="O1082" i="1"/>
  <c r="P1082" i="1"/>
  <c r="Q1082" i="1"/>
  <c r="B1083" i="1"/>
  <c r="I1083" i="1"/>
  <c r="J1083" i="1"/>
  <c r="L1083" i="1"/>
  <c r="M1083" i="1"/>
  <c r="N1083" i="1"/>
  <c r="O1083" i="1"/>
  <c r="P1083" i="1"/>
  <c r="Q1083" i="1"/>
  <c r="B1084" i="1"/>
  <c r="C1084" i="1"/>
  <c r="I1084" i="1"/>
  <c r="J1084" i="1"/>
  <c r="L1084" i="1"/>
  <c r="M1084" i="1"/>
  <c r="N1084" i="1"/>
  <c r="O1084" i="1"/>
  <c r="P1084" i="1"/>
  <c r="Q1084" i="1"/>
  <c r="B1085" i="1"/>
  <c r="C1085" i="1"/>
  <c r="G1085" i="1"/>
  <c r="J1085" i="1"/>
  <c r="L1085" i="1"/>
  <c r="M1085" i="1"/>
  <c r="N1085" i="1"/>
  <c r="O1085" i="1"/>
  <c r="P1085" i="1"/>
  <c r="Q1085" i="1"/>
  <c r="A1086" i="1"/>
  <c r="B1086" i="1"/>
  <c r="F1086" i="1"/>
  <c r="G1086" i="1"/>
  <c r="L1086" i="1"/>
  <c r="M1086" i="1"/>
  <c r="N1086" i="1"/>
  <c r="O1086" i="1"/>
  <c r="P1086" i="1"/>
  <c r="Q1086" i="1"/>
  <c r="A1087" i="1"/>
  <c r="D1087" i="1"/>
  <c r="J1087" i="1"/>
  <c r="L1087" i="1"/>
  <c r="M1087" i="1"/>
  <c r="N1087" i="1"/>
  <c r="O1087" i="1"/>
  <c r="P1087" i="1"/>
  <c r="Q1087" i="1"/>
  <c r="A1088" i="1"/>
  <c r="C1088" i="1"/>
  <c r="D1088" i="1"/>
  <c r="L1088" i="1"/>
  <c r="M1088" i="1"/>
  <c r="N1088" i="1"/>
  <c r="O1088" i="1"/>
  <c r="P1088" i="1"/>
  <c r="Q1088" i="1"/>
  <c r="A1089" i="1"/>
  <c r="F1089" i="1"/>
  <c r="L1089" i="1"/>
  <c r="M1089" i="1"/>
  <c r="N1089" i="1"/>
  <c r="O1089" i="1"/>
  <c r="P1089" i="1"/>
  <c r="Q1089" i="1"/>
  <c r="A1090" i="1"/>
  <c r="L1090" i="1"/>
  <c r="M1090" i="1"/>
  <c r="N1090" i="1"/>
  <c r="O1090" i="1"/>
  <c r="P1090" i="1"/>
  <c r="Q1090" i="1"/>
  <c r="A1091" i="1"/>
  <c r="L1091" i="1"/>
  <c r="M1091" i="1"/>
  <c r="N1091" i="1"/>
  <c r="O1091" i="1"/>
  <c r="P1091" i="1"/>
  <c r="Q1091" i="1"/>
  <c r="A1092" i="1"/>
  <c r="J1092" i="1"/>
  <c r="L1092" i="1"/>
  <c r="M1092" i="1"/>
  <c r="N1092" i="1"/>
  <c r="O1092" i="1"/>
  <c r="P1092" i="1"/>
  <c r="Q1092" i="1"/>
  <c r="A1093" i="1"/>
  <c r="B1093" i="1"/>
  <c r="J1093" i="1"/>
  <c r="L1093" i="1"/>
  <c r="M1093" i="1"/>
  <c r="N1093" i="1"/>
  <c r="O1093" i="1"/>
  <c r="P1093" i="1"/>
  <c r="Q1093" i="1"/>
  <c r="A1094" i="1"/>
  <c r="B1094" i="1"/>
  <c r="L1094" i="1"/>
  <c r="M1094" i="1"/>
  <c r="N1094" i="1"/>
  <c r="O1094" i="1"/>
  <c r="P1094" i="1"/>
  <c r="Q1094" i="1"/>
  <c r="A1095" i="1"/>
  <c r="L1095" i="1"/>
  <c r="M1095" i="1"/>
  <c r="N1095" i="1"/>
  <c r="O1095" i="1"/>
  <c r="P1095" i="1"/>
  <c r="Q1095" i="1"/>
  <c r="A1096" i="1"/>
  <c r="J1096" i="1"/>
  <c r="L1096" i="1"/>
  <c r="M1096" i="1"/>
  <c r="N1096" i="1"/>
  <c r="O1096" i="1"/>
  <c r="P1096" i="1"/>
  <c r="Q1096" i="1"/>
  <c r="A1097" i="1"/>
  <c r="B1097" i="1"/>
  <c r="C1097" i="1"/>
  <c r="L1097" i="1"/>
  <c r="M1097" i="1"/>
  <c r="N1097" i="1"/>
  <c r="O1097" i="1"/>
  <c r="P1097" i="1"/>
  <c r="Q1097" i="1"/>
  <c r="A1098" i="1"/>
  <c r="L1098" i="1"/>
  <c r="M1098" i="1"/>
  <c r="N1098" i="1"/>
  <c r="O1098" i="1"/>
  <c r="P1098" i="1"/>
  <c r="Q1098" i="1"/>
  <c r="A1099" i="1"/>
  <c r="L1099" i="1"/>
  <c r="M1099" i="1"/>
  <c r="N1099" i="1"/>
  <c r="O1099" i="1"/>
  <c r="P1099" i="1"/>
  <c r="Q1099" i="1"/>
  <c r="A1100" i="1"/>
  <c r="D1100" i="1"/>
  <c r="L1100" i="1"/>
  <c r="M1100" i="1"/>
  <c r="N1100" i="1"/>
  <c r="O1100" i="1"/>
  <c r="P1100" i="1"/>
  <c r="Q1100" i="1"/>
  <c r="A1101" i="1"/>
  <c r="C1101" i="1"/>
  <c r="L1101" i="1"/>
  <c r="M1101" i="1"/>
  <c r="N1101" i="1"/>
  <c r="O1101" i="1"/>
  <c r="P1101" i="1"/>
  <c r="Q1101" i="1"/>
  <c r="A1102" i="1"/>
  <c r="L1102" i="1"/>
  <c r="M1102" i="1"/>
  <c r="N1102" i="1"/>
  <c r="O1102" i="1"/>
  <c r="P1102" i="1"/>
  <c r="Q1102" i="1"/>
  <c r="A1103" i="1"/>
  <c r="L1103" i="1"/>
  <c r="M1103" i="1"/>
  <c r="N1103" i="1"/>
  <c r="O1103" i="1"/>
  <c r="P1103" i="1"/>
  <c r="Q1103" i="1"/>
  <c r="A1104" i="1"/>
  <c r="L1104" i="1"/>
  <c r="M1104" i="1"/>
  <c r="N1104" i="1"/>
  <c r="O1104" i="1"/>
  <c r="P1104" i="1"/>
  <c r="Q1104" i="1"/>
  <c r="A1105" i="1"/>
  <c r="G1105" i="1"/>
  <c r="L1105" i="1"/>
  <c r="M1105" i="1"/>
  <c r="N1105" i="1"/>
  <c r="O1105" i="1"/>
  <c r="P1105" i="1"/>
  <c r="Q1105" i="1"/>
  <c r="A1106" i="1"/>
  <c r="G1106" i="1"/>
  <c r="L1106" i="1"/>
  <c r="M1106" i="1"/>
  <c r="N1106" i="1"/>
  <c r="O1106" i="1"/>
  <c r="P1106" i="1"/>
  <c r="Q1106" i="1"/>
  <c r="A1107" i="1"/>
  <c r="C1107" i="1"/>
  <c r="D1107" i="1"/>
  <c r="L1107" i="1"/>
  <c r="M1107" i="1"/>
  <c r="N1107" i="1"/>
  <c r="O1107" i="1"/>
  <c r="P1107" i="1"/>
  <c r="Q1107" i="1"/>
  <c r="A1108" i="1"/>
  <c r="G1108" i="1"/>
  <c r="L1108" i="1"/>
  <c r="M1108" i="1"/>
  <c r="N1108" i="1"/>
  <c r="O1108" i="1"/>
  <c r="P1108" i="1"/>
  <c r="Q1108" i="1"/>
  <c r="A1109" i="1"/>
  <c r="L1109" i="1"/>
  <c r="M1109" i="1"/>
  <c r="N1109" i="1"/>
  <c r="O1109" i="1"/>
  <c r="P1109" i="1"/>
  <c r="Q1109" i="1"/>
  <c r="A1110" i="1"/>
  <c r="D1110" i="1"/>
  <c r="L1110" i="1"/>
  <c r="M1110" i="1"/>
  <c r="N1110" i="1"/>
  <c r="O1110" i="1"/>
  <c r="P1110" i="1"/>
  <c r="Q1110" i="1"/>
  <c r="A1111" i="1"/>
  <c r="F1111" i="1"/>
  <c r="L1111" i="1"/>
  <c r="M1111" i="1"/>
  <c r="N1111" i="1"/>
  <c r="O1111" i="1"/>
  <c r="P1111" i="1"/>
  <c r="Q1111" i="1"/>
  <c r="A1112" i="1"/>
  <c r="L1112" i="1"/>
  <c r="M1112" i="1"/>
  <c r="N1112" i="1"/>
  <c r="O1112" i="1"/>
  <c r="P1112" i="1"/>
  <c r="Q1112" i="1"/>
  <c r="A1113" i="1"/>
  <c r="J1113" i="1"/>
  <c r="L1113" i="1"/>
  <c r="M1113" i="1"/>
  <c r="N1113" i="1"/>
  <c r="O1113" i="1"/>
  <c r="P1113" i="1"/>
  <c r="Q1113" i="1"/>
  <c r="A1114" i="1"/>
  <c r="B1114" i="1"/>
  <c r="F1114" i="1"/>
  <c r="L1114" i="1"/>
  <c r="M1114" i="1"/>
  <c r="N1114" i="1"/>
  <c r="O1114" i="1"/>
  <c r="P1114" i="1"/>
  <c r="Q1114" i="1"/>
  <c r="A1115" i="1"/>
  <c r="F1115" i="1"/>
  <c r="L1115" i="1"/>
  <c r="M1115" i="1"/>
  <c r="N1115" i="1"/>
  <c r="O1115" i="1"/>
  <c r="P1115" i="1"/>
  <c r="Q1115" i="1"/>
  <c r="A1116" i="1"/>
  <c r="C1116" i="1"/>
  <c r="L1116" i="1"/>
  <c r="M1116" i="1"/>
  <c r="N1116" i="1"/>
  <c r="O1116" i="1"/>
  <c r="P1116" i="1"/>
  <c r="Q1116" i="1"/>
  <c r="A1117" i="1"/>
  <c r="L1117" i="1"/>
  <c r="M1117" i="1"/>
  <c r="N1117" i="1"/>
  <c r="O1117" i="1"/>
  <c r="P1117" i="1"/>
  <c r="Q1117" i="1"/>
  <c r="A1118" i="1"/>
  <c r="G1118" i="1"/>
  <c r="L1118" i="1"/>
  <c r="M1118" i="1"/>
  <c r="N1118" i="1"/>
  <c r="O1118" i="1"/>
  <c r="P1118" i="1"/>
  <c r="Q1118" i="1"/>
  <c r="A1119" i="1"/>
  <c r="D1119" i="1"/>
  <c r="L1119" i="1"/>
  <c r="M1119" i="1"/>
  <c r="N1119" i="1"/>
  <c r="O1119" i="1"/>
  <c r="P1119" i="1"/>
  <c r="Q1119" i="1"/>
  <c r="A1120" i="1"/>
  <c r="C1120" i="1"/>
  <c r="L1120" i="1"/>
  <c r="M1120" i="1"/>
  <c r="N1120" i="1"/>
  <c r="O1120" i="1"/>
  <c r="P1120" i="1"/>
  <c r="Q1120" i="1"/>
  <c r="A1121" i="1"/>
  <c r="L1121" i="1"/>
  <c r="M1121" i="1"/>
  <c r="N1121" i="1"/>
  <c r="O1121" i="1"/>
  <c r="P1121" i="1"/>
  <c r="Q1121" i="1"/>
  <c r="A1122" i="1"/>
  <c r="L1122" i="1"/>
  <c r="M1122" i="1"/>
  <c r="N1122" i="1"/>
  <c r="O1122" i="1"/>
  <c r="P1122" i="1"/>
  <c r="Q1122" i="1"/>
  <c r="A1123" i="1"/>
  <c r="L1123" i="1"/>
  <c r="M1123" i="1"/>
  <c r="N1123" i="1"/>
  <c r="O1123" i="1"/>
  <c r="P1123" i="1"/>
  <c r="Q1123" i="1"/>
  <c r="A1124" i="1"/>
  <c r="L1124" i="1"/>
  <c r="M1124" i="1"/>
  <c r="N1124" i="1"/>
  <c r="O1124" i="1"/>
  <c r="P1124" i="1"/>
  <c r="Q1124" i="1"/>
  <c r="A1125" i="1"/>
  <c r="L1125" i="1"/>
  <c r="M1125" i="1"/>
  <c r="N1125" i="1"/>
  <c r="O1125" i="1"/>
  <c r="P1125" i="1"/>
  <c r="Q1125" i="1"/>
  <c r="A1126" i="1"/>
  <c r="L1126" i="1"/>
  <c r="M1126" i="1"/>
  <c r="N1126" i="1"/>
  <c r="O1126" i="1"/>
  <c r="P1126" i="1"/>
  <c r="Q1126" i="1"/>
  <c r="A1127" i="1"/>
  <c r="L1127" i="1"/>
  <c r="M1127" i="1"/>
  <c r="N1127" i="1"/>
  <c r="O1127" i="1"/>
  <c r="P1127" i="1"/>
  <c r="Q1127" i="1"/>
  <c r="A1128" i="1"/>
  <c r="L1128" i="1"/>
  <c r="M1128" i="1"/>
  <c r="N1128" i="1"/>
  <c r="O1128" i="1"/>
  <c r="P1128" i="1"/>
  <c r="Q1128" i="1"/>
  <c r="A1129" i="1"/>
  <c r="L1129" i="1"/>
  <c r="M1129" i="1"/>
  <c r="N1129" i="1"/>
  <c r="O1129" i="1"/>
  <c r="P1129" i="1"/>
  <c r="Q1129" i="1"/>
  <c r="A1130" i="1"/>
  <c r="L1130" i="1"/>
  <c r="M1130" i="1"/>
  <c r="N1130" i="1"/>
  <c r="O1130" i="1"/>
  <c r="P1130" i="1"/>
  <c r="Q1130" i="1"/>
  <c r="A1131" i="1"/>
  <c r="L1131" i="1"/>
  <c r="M1131" i="1"/>
  <c r="N1131" i="1"/>
  <c r="O1131" i="1"/>
  <c r="P1131" i="1"/>
  <c r="Q1131" i="1"/>
  <c r="A1132" i="1"/>
  <c r="L1132" i="1"/>
  <c r="M1132" i="1"/>
  <c r="N1132" i="1"/>
  <c r="O1132" i="1"/>
  <c r="P1132" i="1"/>
  <c r="Q1132" i="1"/>
  <c r="A1133" i="1"/>
  <c r="L1133" i="1"/>
  <c r="M1133" i="1"/>
  <c r="N1133" i="1"/>
  <c r="O1133" i="1"/>
  <c r="P1133" i="1"/>
  <c r="Q1133" i="1"/>
  <c r="A1134" i="1"/>
  <c r="L1134" i="1"/>
  <c r="M1134" i="1"/>
  <c r="N1134" i="1"/>
  <c r="O1134" i="1"/>
  <c r="P1134" i="1"/>
  <c r="Q1134" i="1"/>
  <c r="A1135" i="1"/>
  <c r="L1135" i="1"/>
  <c r="M1135" i="1"/>
  <c r="N1135" i="1"/>
  <c r="O1135" i="1"/>
  <c r="P1135" i="1"/>
  <c r="Q1135" i="1"/>
  <c r="A1136" i="1"/>
  <c r="L1136" i="1"/>
  <c r="M1136" i="1"/>
  <c r="N1136" i="1"/>
  <c r="O1136" i="1"/>
  <c r="P1136" i="1"/>
  <c r="Q1136" i="1"/>
  <c r="A1137" i="1"/>
  <c r="G1137" i="1"/>
  <c r="L1137" i="1"/>
  <c r="M1137" i="1"/>
  <c r="N1137" i="1"/>
  <c r="O1137" i="1"/>
  <c r="P1137" i="1"/>
  <c r="Q1137" i="1"/>
  <c r="A1138" i="1"/>
  <c r="G1138" i="1"/>
  <c r="L1138" i="1"/>
  <c r="M1138" i="1"/>
  <c r="N1138" i="1"/>
  <c r="O1138" i="1"/>
  <c r="P1138" i="1"/>
  <c r="Q1138" i="1"/>
  <c r="A1139" i="1"/>
  <c r="C1139" i="1"/>
  <c r="L1139" i="1"/>
  <c r="M1139" i="1"/>
  <c r="N1139" i="1"/>
  <c r="O1139" i="1"/>
  <c r="P1139" i="1"/>
  <c r="Q1139" i="1"/>
  <c r="A1140" i="1"/>
  <c r="L1140" i="1"/>
  <c r="M1140" i="1"/>
  <c r="N1140" i="1"/>
  <c r="O1140" i="1"/>
  <c r="P1140" i="1"/>
  <c r="Q1140" i="1"/>
  <c r="A1141" i="1"/>
  <c r="L1141" i="1"/>
  <c r="M1141" i="1"/>
  <c r="N1141" i="1"/>
  <c r="O1141" i="1"/>
  <c r="P1141" i="1"/>
  <c r="Q1141" i="1"/>
  <c r="A1142" i="1"/>
  <c r="L1142" i="1"/>
  <c r="M1142" i="1"/>
  <c r="N1142" i="1"/>
  <c r="O1142" i="1"/>
  <c r="P1142" i="1"/>
  <c r="Q1142" i="1"/>
  <c r="A1143" i="1"/>
  <c r="L1143" i="1"/>
  <c r="M1143" i="1"/>
  <c r="N1143" i="1"/>
  <c r="O1143" i="1"/>
  <c r="P1143" i="1"/>
  <c r="Q1143" i="1"/>
  <c r="A1144" i="1"/>
  <c r="L1144" i="1"/>
  <c r="M1144" i="1"/>
  <c r="N1144" i="1"/>
  <c r="O1144" i="1"/>
  <c r="P1144" i="1"/>
  <c r="Q1144" i="1"/>
  <c r="A1145" i="1"/>
  <c r="L1145" i="1"/>
  <c r="M1145" i="1"/>
  <c r="N1145" i="1"/>
  <c r="O1145" i="1"/>
  <c r="P1145" i="1"/>
  <c r="Q1145" i="1"/>
  <c r="A1146" i="1"/>
  <c r="L1146" i="1"/>
  <c r="M1146" i="1"/>
  <c r="N1146" i="1"/>
  <c r="O1146" i="1"/>
  <c r="P1146" i="1"/>
  <c r="Q1146" i="1"/>
  <c r="A1147" i="1"/>
  <c r="L1147" i="1"/>
  <c r="M1147" i="1"/>
  <c r="N1147" i="1"/>
  <c r="O1147" i="1"/>
  <c r="P1147" i="1"/>
  <c r="Q1147" i="1"/>
  <c r="A1148" i="1"/>
  <c r="L1148" i="1"/>
  <c r="M1148" i="1"/>
  <c r="N1148" i="1"/>
  <c r="O1148" i="1"/>
  <c r="P1148" i="1"/>
  <c r="Q1148" i="1"/>
  <c r="D1148" i="1" l="1"/>
  <c r="F1143" i="1"/>
  <c r="D1142" i="1"/>
  <c r="C1133" i="1"/>
  <c r="D1132" i="1"/>
  <c r="F1147" i="1"/>
  <c r="B1147" i="1"/>
  <c r="H1147" i="1"/>
  <c r="J1146" i="1"/>
  <c r="D1146" i="1"/>
  <c r="B1145" i="1"/>
  <c r="H1145" i="1"/>
  <c r="J1144" i="1"/>
  <c r="H1144" i="1"/>
  <c r="G1143" i="1"/>
  <c r="B1142" i="1"/>
  <c r="C1142" i="1"/>
  <c r="J1141" i="1"/>
  <c r="B1141" i="1"/>
  <c r="J1140" i="1"/>
  <c r="G1140" i="1"/>
  <c r="G1139" i="1"/>
  <c r="D1139" i="1"/>
  <c r="C1138" i="1"/>
  <c r="F1137" i="1"/>
  <c r="C1136" i="1"/>
  <c r="D1136" i="1"/>
  <c r="G1135" i="1"/>
  <c r="D1135" i="1"/>
  <c r="G1134" i="1"/>
  <c r="C1134" i="1"/>
  <c r="C1132" i="1"/>
  <c r="F1131" i="1"/>
  <c r="G1131" i="1"/>
  <c r="B1130" i="1"/>
  <c r="F1130" i="1"/>
  <c r="C1130" i="1"/>
  <c r="J1129" i="1"/>
  <c r="C1129" i="1"/>
  <c r="B1128" i="1"/>
  <c r="F1127" i="1"/>
  <c r="J1127" i="1"/>
  <c r="G1127" i="1"/>
  <c r="D1126" i="1"/>
  <c r="C1126" i="1"/>
  <c r="G1125" i="1"/>
  <c r="C1124" i="1"/>
  <c r="D1124" i="1"/>
  <c r="G1124" i="1"/>
  <c r="F1123" i="1"/>
  <c r="G1123" i="1"/>
  <c r="C1123" i="1"/>
  <c r="D1123" i="1"/>
  <c r="B1122" i="1"/>
  <c r="D1122" i="1"/>
  <c r="G1122" i="1"/>
  <c r="C1122" i="1"/>
  <c r="F1121" i="1"/>
  <c r="G1121" i="1"/>
  <c r="J1120" i="1"/>
  <c r="B1120" i="1"/>
  <c r="D1120" i="1"/>
  <c r="F1119" i="1"/>
  <c r="G1119" i="1"/>
  <c r="B1118" i="1"/>
  <c r="D1118" i="1"/>
  <c r="F1118" i="1"/>
  <c r="C1118" i="1"/>
  <c r="G1117" i="1"/>
  <c r="C1117" i="1"/>
  <c r="J1116" i="1"/>
  <c r="D1116" i="1"/>
  <c r="G1115" i="1"/>
  <c r="D1114" i="1"/>
  <c r="C1114" i="1"/>
  <c r="F1113" i="1"/>
  <c r="G1113" i="1"/>
  <c r="B1113" i="1"/>
  <c r="C1113" i="1"/>
  <c r="J1112" i="1"/>
  <c r="B1112" i="1"/>
  <c r="C1112" i="1"/>
  <c r="D1112" i="1"/>
  <c r="J1111" i="1"/>
  <c r="G1111" i="1"/>
  <c r="B1110" i="1"/>
  <c r="C1110" i="1"/>
  <c r="G1109" i="1"/>
  <c r="J1109" i="1"/>
  <c r="B1109" i="1"/>
  <c r="J1108" i="1"/>
  <c r="C1108" i="1"/>
  <c r="D1108" i="1"/>
  <c r="F1107" i="1"/>
  <c r="G1107" i="1"/>
  <c r="B1106" i="1"/>
  <c r="D1106" i="1"/>
  <c r="C1106" i="1"/>
  <c r="F1105" i="1"/>
  <c r="J1104" i="1"/>
  <c r="B1104" i="1"/>
  <c r="C1104" i="1"/>
  <c r="D1104" i="1"/>
  <c r="F1103" i="1"/>
  <c r="G1103" i="1"/>
  <c r="D1103" i="1"/>
  <c r="B1102" i="1"/>
  <c r="C1148" i="1"/>
  <c r="F1063" i="1"/>
  <c r="E1062" i="1"/>
  <c r="E1108" i="3"/>
  <c r="E1105" i="3"/>
  <c r="E1103" i="3"/>
  <c r="E1100" i="3"/>
  <c r="E1097" i="3"/>
  <c r="E1095" i="3"/>
  <c r="C1142" i="4"/>
  <c r="F1087" i="1"/>
  <c r="D1086" i="1"/>
  <c r="F1084" i="1"/>
  <c r="D1083" i="1"/>
  <c r="I1082" i="1"/>
  <c r="F1080" i="1"/>
  <c r="H1079" i="1"/>
  <c r="E1078" i="1"/>
  <c r="D1077" i="1"/>
  <c r="J1076" i="1"/>
  <c r="D1075" i="1"/>
  <c r="D1074" i="1"/>
  <c r="J1073" i="1"/>
  <c r="C1073" i="1"/>
  <c r="B1068" i="1"/>
  <c r="D1103" i="3"/>
  <c r="D1098" i="3"/>
  <c r="D1093" i="3"/>
  <c r="D1091" i="3"/>
  <c r="B1148" i="4"/>
  <c r="J1147" i="4"/>
  <c r="B1146" i="4"/>
  <c r="H1145" i="4"/>
  <c r="B1144" i="4"/>
  <c r="D1143" i="4"/>
  <c r="B1142" i="4"/>
  <c r="H1141" i="4"/>
  <c r="B1140" i="4"/>
  <c r="H1139" i="4"/>
  <c r="D1139" i="4"/>
  <c r="B1138" i="4"/>
  <c r="F1137" i="4"/>
  <c r="J1134" i="4"/>
  <c r="B1134" i="4"/>
  <c r="D1132" i="4"/>
  <c r="J1130" i="4"/>
  <c r="D1128" i="4"/>
  <c r="D1125" i="4"/>
  <c r="H1123" i="4"/>
  <c r="J1120" i="4"/>
  <c r="B1120" i="4"/>
  <c r="F1112" i="4"/>
  <c r="J1110" i="4"/>
  <c r="F1107" i="4"/>
  <c r="B1085" i="4"/>
  <c r="F1085" i="4"/>
  <c r="H1082" i="4"/>
  <c r="J1081" i="4"/>
  <c r="J1078" i="4"/>
  <c r="D1102" i="1"/>
  <c r="F1102" i="1"/>
  <c r="G1102" i="1"/>
  <c r="C1102" i="1"/>
  <c r="G1101" i="1"/>
  <c r="J1100" i="1"/>
  <c r="C1100" i="1"/>
  <c r="F1099" i="1"/>
  <c r="G1099" i="1"/>
  <c r="B1098" i="1"/>
  <c r="D1098" i="1"/>
  <c r="F1098" i="1"/>
  <c r="C1098" i="1"/>
  <c r="F1097" i="1"/>
  <c r="G1097" i="1"/>
  <c r="J1097" i="1"/>
  <c r="B1096" i="1"/>
  <c r="C1096" i="1"/>
  <c r="D1096" i="1"/>
  <c r="F1095" i="1"/>
  <c r="J1095" i="1"/>
  <c r="G1095" i="1"/>
  <c r="D1094" i="1"/>
  <c r="C1094" i="1"/>
  <c r="F1093" i="1"/>
  <c r="G1093" i="1"/>
  <c r="B1092" i="1"/>
  <c r="C1092" i="1"/>
  <c r="D1092" i="1"/>
  <c r="G1092" i="1"/>
  <c r="F1091" i="1"/>
  <c r="G1091" i="1"/>
  <c r="C1091" i="1"/>
  <c r="D1091" i="1"/>
  <c r="B1090" i="1"/>
  <c r="D1090" i="1"/>
  <c r="G1090" i="1"/>
  <c r="C1090" i="1"/>
  <c r="G1089" i="1"/>
  <c r="J1088" i="1"/>
  <c r="B1088" i="1"/>
  <c r="B1087" i="1"/>
  <c r="G1087" i="1"/>
  <c r="C1087" i="1"/>
  <c r="C1086" i="1"/>
  <c r="F1085" i="1"/>
  <c r="D1085" i="1"/>
  <c r="E1084" i="1"/>
  <c r="H1083" i="1"/>
  <c r="D1082" i="1"/>
  <c r="F1081" i="1"/>
  <c r="J1081" i="1"/>
  <c r="C1081" i="1"/>
  <c r="E1080" i="1"/>
  <c r="I1079" i="1"/>
  <c r="D1079" i="1"/>
  <c r="G1078" i="1"/>
  <c r="H1078" i="1"/>
  <c r="B1077" i="1"/>
  <c r="F1076" i="1"/>
  <c r="B1075" i="1"/>
  <c r="H1075" i="1"/>
  <c r="G1074" i="1"/>
  <c r="H1074" i="1"/>
  <c r="F1072" i="1"/>
  <c r="G1072" i="1"/>
  <c r="H1071" i="1"/>
  <c r="D1070" i="1"/>
  <c r="J1069" i="1"/>
  <c r="B1069" i="1"/>
  <c r="C1069" i="1"/>
  <c r="J1068" i="1"/>
  <c r="H1067" i="1"/>
  <c r="C1066" i="1"/>
  <c r="G1066" i="1"/>
  <c r="E1065" i="1"/>
  <c r="J1065" i="1"/>
  <c r="H1065" i="1"/>
  <c r="F1064" i="1"/>
  <c r="H1063" i="1"/>
  <c r="K1062" i="1"/>
  <c r="C1062" i="1"/>
  <c r="C1106" i="3"/>
  <c r="C1101" i="3"/>
  <c r="C1096" i="3"/>
  <c r="B1078" i="3"/>
  <c r="B1068" i="3"/>
  <c r="D1148" i="4"/>
  <c r="H1146" i="4"/>
  <c r="J1145" i="4"/>
  <c r="B1145" i="4"/>
  <c r="D1144" i="4"/>
  <c r="H1142" i="4"/>
  <c r="J1141" i="4"/>
  <c r="B1141" i="4"/>
  <c r="D1140" i="4"/>
  <c r="H1138" i="4"/>
  <c r="H1137" i="4"/>
  <c r="J1137" i="4"/>
  <c r="B1137" i="4"/>
  <c r="H1136" i="4"/>
  <c r="J1136" i="4"/>
  <c r="H1135" i="4"/>
  <c r="H1134" i="4"/>
  <c r="D1134" i="4"/>
  <c r="B1133" i="4"/>
  <c r="D1133" i="4"/>
  <c r="H1131" i="4"/>
  <c r="J1131" i="4"/>
  <c r="H1130" i="4"/>
  <c r="D1130" i="4"/>
  <c r="B1129" i="4"/>
  <c r="D1129" i="4"/>
  <c r="B1128" i="4"/>
  <c r="B1110" i="3"/>
  <c r="C1110" i="3"/>
  <c r="D1110" i="3"/>
  <c r="E1110" i="3"/>
  <c r="A1111" i="3"/>
  <c r="E1148" i="4"/>
  <c r="G1148" i="4"/>
  <c r="E1147" i="4"/>
  <c r="G1147" i="4"/>
  <c r="E1146" i="4"/>
  <c r="G1146" i="4"/>
  <c r="E1145" i="4"/>
  <c r="G1145" i="4"/>
  <c r="E1144" i="4"/>
  <c r="G1144" i="4"/>
  <c r="E1143" i="4"/>
  <c r="G1143" i="4"/>
  <c r="E1142" i="4"/>
  <c r="G1142" i="4"/>
  <c r="E1141" i="4"/>
  <c r="G1141" i="4"/>
  <c r="E1140" i="4"/>
  <c r="G1140" i="4"/>
  <c r="E1139" i="4"/>
  <c r="G1139" i="4"/>
  <c r="E1138" i="4"/>
  <c r="G1138" i="4"/>
  <c r="E1137" i="4"/>
  <c r="G1137" i="4"/>
  <c r="E1136" i="4"/>
  <c r="G1136" i="4"/>
  <c r="E1135" i="4"/>
  <c r="G1135" i="4"/>
  <c r="E1134" i="4"/>
  <c r="G1134" i="4"/>
  <c r="E1133" i="4"/>
  <c r="G1133" i="4"/>
  <c r="E1132" i="4"/>
  <c r="G1132" i="4"/>
  <c r="E1131" i="4"/>
  <c r="G1131" i="4"/>
  <c r="E1130" i="4"/>
  <c r="G1130" i="4"/>
  <c r="E1129" i="4"/>
  <c r="G1129" i="4"/>
  <c r="E1128" i="4"/>
  <c r="G1128" i="4"/>
  <c r="E1127" i="4"/>
  <c r="G1127" i="4"/>
  <c r="E1126" i="4"/>
  <c r="G1126" i="4"/>
  <c r="E1125" i="4"/>
  <c r="G1125" i="4"/>
  <c r="E1124" i="4"/>
  <c r="G1124" i="4"/>
  <c r="E1123" i="4"/>
  <c r="G1123" i="4"/>
  <c r="E1122" i="4"/>
  <c r="G1122" i="4"/>
  <c r="E1121" i="4"/>
  <c r="G1121" i="4"/>
  <c r="E1120" i="4"/>
  <c r="G1120" i="4"/>
  <c r="E1119" i="4"/>
  <c r="G1119" i="4"/>
  <c r="E1118" i="4"/>
  <c r="G1118" i="4"/>
  <c r="E1117" i="4"/>
  <c r="G1117" i="4"/>
  <c r="E1116" i="4"/>
  <c r="G1116" i="4"/>
  <c r="E1115" i="4"/>
  <c r="G1115" i="4"/>
  <c r="E1114" i="4"/>
  <c r="G1114" i="4"/>
  <c r="E1113" i="4"/>
  <c r="G1113" i="4"/>
  <c r="E1112" i="4"/>
  <c r="G1112" i="4"/>
  <c r="E1111" i="4"/>
  <c r="G1111" i="4"/>
  <c r="E1110" i="4"/>
  <c r="G1110" i="4"/>
  <c r="E1109" i="4"/>
  <c r="G1109" i="4"/>
  <c r="E1108" i="4"/>
  <c r="G1108" i="4"/>
  <c r="E1107" i="4"/>
  <c r="G1107" i="4"/>
  <c r="E1106" i="4"/>
  <c r="G1106" i="4"/>
  <c r="E1105" i="4"/>
  <c r="G1105" i="4"/>
  <c r="E1104" i="4"/>
  <c r="G1104" i="4"/>
  <c r="E1102" i="4"/>
  <c r="G1102" i="4"/>
  <c r="E1101" i="4"/>
  <c r="G1101" i="4"/>
  <c r="E1100" i="4"/>
  <c r="G1100" i="4"/>
  <c r="E1099" i="4"/>
  <c r="G1099" i="4"/>
  <c r="E1098" i="4"/>
  <c r="G1098" i="4"/>
  <c r="E1097" i="4"/>
  <c r="G1097" i="4"/>
  <c r="E1096" i="4"/>
  <c r="G1096" i="4"/>
  <c r="E1095" i="4"/>
  <c r="G1095" i="4"/>
  <c r="E1094" i="4"/>
  <c r="G1094" i="4"/>
  <c r="E1093" i="4"/>
  <c r="G1093" i="4"/>
  <c r="E1092" i="4"/>
  <c r="G1092" i="4"/>
  <c r="E1091" i="4"/>
  <c r="G1091" i="4"/>
  <c r="E1090" i="4"/>
  <c r="G1090" i="4"/>
  <c r="E1089" i="4"/>
  <c r="G1089" i="4"/>
  <c r="E1088" i="4"/>
  <c r="G1088" i="4"/>
  <c r="E1087" i="4"/>
  <c r="G1087" i="4"/>
  <c r="E1086" i="4"/>
  <c r="G1086" i="4"/>
  <c r="E1085" i="4"/>
  <c r="G1085" i="4"/>
  <c r="E1084" i="4"/>
  <c r="G1084" i="4"/>
  <c r="E1083" i="4"/>
  <c r="G1083" i="4"/>
  <c r="E1082" i="4"/>
  <c r="G1082" i="4"/>
  <c r="E1081" i="4"/>
  <c r="G1081" i="4"/>
  <c r="E1080" i="4"/>
  <c r="G1080" i="4"/>
  <c r="E1079" i="4"/>
  <c r="G1079" i="4"/>
  <c r="E1078" i="4"/>
  <c r="G1078" i="4"/>
  <c r="E1077" i="4"/>
  <c r="G1077" i="4"/>
  <c r="E1076" i="4"/>
  <c r="G1076" i="4"/>
  <c r="E1075" i="4"/>
  <c r="G1075" i="4"/>
  <c r="E1074" i="4"/>
  <c r="G1074" i="4"/>
  <c r="E1073" i="4"/>
  <c r="G1073" i="4"/>
  <c r="E1072" i="4"/>
  <c r="G1072" i="4"/>
  <c r="E1071" i="4"/>
  <c r="G1071" i="4"/>
  <c r="E1070" i="4"/>
  <c r="G1070" i="4"/>
  <c r="E1069" i="4"/>
  <c r="G1069" i="4"/>
  <c r="E1068" i="4"/>
  <c r="G1068" i="4"/>
  <c r="E1067" i="4"/>
  <c r="G1067" i="4"/>
  <c r="E1066" i="4"/>
  <c r="G1066" i="4"/>
  <c r="E1065" i="4"/>
  <c r="G1065" i="4"/>
  <c r="E1064" i="4"/>
  <c r="G1064" i="4"/>
  <c r="E1063" i="4"/>
  <c r="G1063" i="4"/>
  <c r="E1062" i="4"/>
  <c r="E1103" i="4"/>
  <c r="G1103" i="4"/>
  <c r="B1109" i="3"/>
  <c r="B1108" i="3"/>
  <c r="B1107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3" i="3"/>
  <c r="B1082" i="3"/>
  <c r="B1081" i="3"/>
  <c r="B1080" i="3"/>
  <c r="B1079" i="3"/>
  <c r="B1077" i="3"/>
  <c r="B1076" i="3"/>
  <c r="B1075" i="3"/>
  <c r="B1074" i="3"/>
  <c r="B1073" i="3"/>
  <c r="B1072" i="3"/>
  <c r="B1071" i="3"/>
  <c r="B1069" i="3"/>
  <c r="B1067" i="3"/>
  <c r="B1066" i="3"/>
  <c r="B1065" i="3"/>
  <c r="B1064" i="3"/>
  <c r="B1063" i="3"/>
  <c r="J1148" i="1"/>
  <c r="F1139" i="1"/>
  <c r="J1136" i="1"/>
  <c r="B1136" i="1"/>
  <c r="B1134" i="1"/>
  <c r="J1132" i="1"/>
  <c r="I1148" i="1"/>
  <c r="E1147" i="1"/>
  <c r="I1144" i="1"/>
  <c r="E1143" i="1"/>
  <c r="I1140" i="1"/>
  <c r="I1138" i="1"/>
  <c r="I1136" i="1"/>
  <c r="E1135" i="1"/>
  <c r="I1134" i="1"/>
  <c r="E1133" i="1"/>
  <c r="I1128" i="1"/>
  <c r="B1148" i="1"/>
  <c r="H1148" i="1"/>
  <c r="C1147" i="1"/>
  <c r="F1146" i="1"/>
  <c r="F1145" i="1"/>
  <c r="D1145" i="1"/>
  <c r="E1144" i="1"/>
  <c r="D1143" i="1"/>
  <c r="E1142" i="1"/>
  <c r="H1142" i="1"/>
  <c r="C1141" i="1"/>
  <c r="D1140" i="1"/>
  <c r="H1140" i="1"/>
  <c r="J1139" i="1"/>
  <c r="D1138" i="1"/>
  <c r="H1138" i="1"/>
  <c r="B1137" i="1"/>
  <c r="E1136" i="1"/>
  <c r="H1136" i="1"/>
  <c r="B1135" i="1"/>
  <c r="H1134" i="1"/>
  <c r="J1133" i="1"/>
  <c r="G1132" i="1"/>
  <c r="I1131" i="1"/>
  <c r="C1131" i="1"/>
  <c r="E1130" i="1"/>
  <c r="G1129" i="1"/>
  <c r="D1129" i="1"/>
  <c r="C1128" i="1"/>
  <c r="G1128" i="1"/>
  <c r="B1127" i="1"/>
  <c r="G1126" i="1"/>
  <c r="I1125" i="1"/>
  <c r="D1125" i="1"/>
  <c r="E1124" i="1"/>
  <c r="I1123" i="1"/>
  <c r="F1122" i="1"/>
  <c r="B1121" i="1"/>
  <c r="F1120" i="1"/>
  <c r="J1119" i="1"/>
  <c r="E1118" i="1"/>
  <c r="I1117" i="1"/>
  <c r="D1117" i="1"/>
  <c r="E1116" i="1"/>
  <c r="H1116" i="1"/>
  <c r="J1115" i="1"/>
  <c r="D1115" i="1"/>
  <c r="E1114" i="1"/>
  <c r="I1113" i="1"/>
  <c r="G1112" i="1"/>
  <c r="C1111" i="1"/>
  <c r="E1110" i="1"/>
  <c r="H1110" i="1"/>
  <c r="I1109" i="1"/>
  <c r="E1108" i="1"/>
  <c r="H1108" i="1"/>
  <c r="J1107" i="1"/>
  <c r="E1106" i="1"/>
  <c r="I1105" i="1"/>
  <c r="B1105" i="1"/>
  <c r="D1105" i="1"/>
  <c r="E1104" i="1"/>
  <c r="G1104" i="1"/>
  <c r="J1103" i="1"/>
  <c r="C1103" i="1"/>
  <c r="E1102" i="1"/>
  <c r="J1101" i="1"/>
  <c r="D1101" i="1"/>
  <c r="F1100" i="1"/>
  <c r="H1100" i="1"/>
  <c r="J1099" i="1"/>
  <c r="C1099" i="1"/>
  <c r="G1098" i="1"/>
  <c r="I1097" i="1"/>
  <c r="D1097" i="1"/>
  <c r="E1096" i="1"/>
  <c r="G1096" i="1"/>
  <c r="I1095" i="1"/>
  <c r="C1095" i="1"/>
  <c r="E1094" i="1"/>
  <c r="G1094" i="1"/>
  <c r="C1093" i="1"/>
  <c r="F1092" i="1"/>
  <c r="I1091" i="1"/>
  <c r="B1091" i="1"/>
  <c r="E1090" i="1"/>
  <c r="I1089" i="1"/>
  <c r="B1089" i="1"/>
  <c r="D1089" i="1"/>
  <c r="F1088" i="1"/>
  <c r="G1062" i="4"/>
  <c r="K1148" i="4"/>
  <c r="K1147" i="4"/>
  <c r="I1146" i="4"/>
  <c r="K1146" i="4"/>
  <c r="K1145" i="4"/>
  <c r="K1144" i="4"/>
  <c r="C1143" i="4"/>
  <c r="K1142" i="4"/>
  <c r="K1141" i="4"/>
  <c r="I1140" i="4"/>
  <c r="K1140" i="4"/>
  <c r="C1140" i="4"/>
  <c r="I1139" i="4"/>
  <c r="K1139" i="4"/>
  <c r="C1139" i="4"/>
  <c r="I1138" i="4"/>
  <c r="K1138" i="4"/>
  <c r="C1138" i="4"/>
  <c r="I1137" i="4"/>
  <c r="K1137" i="4"/>
  <c r="C1137" i="4"/>
  <c r="I1136" i="4"/>
  <c r="K1136" i="4"/>
  <c r="C1136" i="4"/>
  <c r="I1135" i="4"/>
  <c r="K1135" i="4"/>
  <c r="I1134" i="4"/>
  <c r="K1134" i="4"/>
  <c r="C1134" i="4"/>
  <c r="I1133" i="4"/>
  <c r="K1133" i="4"/>
  <c r="C1133" i="4"/>
  <c r="I1132" i="4"/>
  <c r="K1132" i="4"/>
  <c r="C1132" i="4"/>
  <c r="I1131" i="4"/>
  <c r="K1131" i="4"/>
  <c r="C1131" i="4"/>
  <c r="I1130" i="4"/>
  <c r="K1130" i="4"/>
  <c r="C1130" i="4"/>
  <c r="I1129" i="4"/>
  <c r="B1086" i="2"/>
  <c r="I1146" i="1"/>
  <c r="E1145" i="1"/>
  <c r="I1142" i="1"/>
  <c r="E1141" i="1"/>
  <c r="E1139" i="1"/>
  <c r="E1137" i="1"/>
  <c r="I1132" i="1"/>
  <c r="E1131" i="1"/>
  <c r="I1130" i="1"/>
  <c r="E1129" i="1"/>
  <c r="F1148" i="1"/>
  <c r="J1147" i="1"/>
  <c r="E1146" i="1"/>
  <c r="H1146" i="1"/>
  <c r="C1145" i="1"/>
  <c r="C1144" i="1"/>
  <c r="F1144" i="1"/>
  <c r="B1143" i="1"/>
  <c r="G1142" i="1"/>
  <c r="G1141" i="1"/>
  <c r="D1141" i="1"/>
  <c r="E1140" i="1"/>
  <c r="B1139" i="1"/>
  <c r="B1138" i="1"/>
  <c r="F1138" i="1"/>
  <c r="J1137" i="1"/>
  <c r="D1137" i="1"/>
  <c r="F1136" i="1"/>
  <c r="F1135" i="1"/>
  <c r="C1135" i="1"/>
  <c r="D1134" i="1"/>
  <c r="I1133" i="1"/>
  <c r="D1133" i="1"/>
  <c r="F1132" i="1"/>
  <c r="J1131" i="1"/>
  <c r="D1131" i="1"/>
  <c r="G1130" i="1"/>
  <c r="I1129" i="1"/>
  <c r="E1128" i="1"/>
  <c r="H1128" i="1"/>
  <c r="D1127" i="1"/>
  <c r="F1126" i="1"/>
  <c r="F1124" i="1"/>
  <c r="J1123" i="1"/>
  <c r="E1122" i="1"/>
  <c r="J1121" i="1"/>
  <c r="D1121" i="1"/>
  <c r="E1120" i="1"/>
  <c r="H1120" i="1"/>
  <c r="I1119" i="1"/>
  <c r="C1119" i="1"/>
  <c r="B1117" i="1"/>
  <c r="G1116" i="1"/>
  <c r="B1115" i="1"/>
  <c r="H1114" i="1"/>
  <c r="E1112" i="1"/>
  <c r="H1112" i="1"/>
  <c r="I1111" i="1"/>
  <c r="B1111" i="1"/>
  <c r="F1110" i="1"/>
  <c r="D1109" i="1"/>
  <c r="F1108" i="1"/>
  <c r="I1107" i="1"/>
  <c r="B1107" i="1"/>
  <c r="F1106" i="1"/>
  <c r="H1106" i="1"/>
  <c r="J1105" i="1"/>
  <c r="C1105" i="1"/>
  <c r="F1104" i="1"/>
  <c r="H1104" i="1"/>
  <c r="I1103" i="1"/>
  <c r="B1103" i="1"/>
  <c r="H1102" i="1"/>
  <c r="I1101" i="1"/>
  <c r="B1101" i="1"/>
  <c r="E1100" i="1"/>
  <c r="G1100" i="1"/>
  <c r="I1099" i="1"/>
  <c r="B1099" i="1"/>
  <c r="D1099" i="1"/>
  <c r="E1098" i="1"/>
  <c r="H1098" i="1"/>
  <c r="F1096" i="1"/>
  <c r="H1096" i="1"/>
  <c r="B1095" i="1"/>
  <c r="D1095" i="1"/>
  <c r="F1094" i="1"/>
  <c r="H1094" i="1"/>
  <c r="I1093" i="1"/>
  <c r="D1093" i="1"/>
  <c r="E1092" i="1"/>
  <c r="H1092" i="1"/>
  <c r="J1091" i="1"/>
  <c r="F1090" i="1"/>
  <c r="H1090" i="1"/>
  <c r="J1089" i="1"/>
  <c r="C1089" i="1"/>
  <c r="E1088" i="1"/>
  <c r="G1088" i="1"/>
  <c r="I1148" i="4"/>
  <c r="C1148" i="4"/>
  <c r="I1147" i="4"/>
  <c r="C1147" i="4"/>
  <c r="C1146" i="4"/>
  <c r="I1145" i="4"/>
  <c r="C1145" i="4"/>
  <c r="I1144" i="4"/>
  <c r="C1144" i="4"/>
  <c r="I1143" i="4"/>
  <c r="K1143" i="4"/>
  <c r="I1142" i="4"/>
  <c r="I1141" i="4"/>
  <c r="C1141" i="4"/>
  <c r="C1135" i="4"/>
  <c r="A1088" i="2"/>
  <c r="B1087" i="2"/>
  <c r="E1148" i="1"/>
  <c r="G1148" i="1"/>
  <c r="G1147" i="1"/>
  <c r="D1147" i="1"/>
  <c r="G1146" i="1"/>
  <c r="J1145" i="1"/>
  <c r="D1144" i="1"/>
  <c r="G1144" i="1"/>
  <c r="C1143" i="1"/>
  <c r="F1142" i="1"/>
  <c r="C1140" i="1"/>
  <c r="F1140" i="1"/>
  <c r="E1138" i="1"/>
  <c r="C1137" i="1"/>
  <c r="G1136" i="1"/>
  <c r="J1135" i="1"/>
  <c r="E1134" i="1"/>
  <c r="B1133" i="1"/>
  <c r="E1132" i="1"/>
  <c r="H1132" i="1"/>
  <c r="B1131" i="1"/>
  <c r="D1130" i="1"/>
  <c r="H1130" i="1"/>
  <c r="F1129" i="1"/>
  <c r="D1128" i="1"/>
  <c r="F1128" i="1"/>
  <c r="I1127" i="1"/>
  <c r="C1127" i="1"/>
  <c r="E1126" i="1"/>
  <c r="H1126" i="1"/>
  <c r="C1125" i="1"/>
  <c r="H1124" i="1"/>
  <c r="B1123" i="1"/>
  <c r="H1122" i="1"/>
  <c r="I1121" i="1"/>
  <c r="C1121" i="1"/>
  <c r="G1120" i="1"/>
  <c r="B1119" i="1"/>
  <c r="H1118" i="1"/>
  <c r="J1117" i="1"/>
  <c r="F1116" i="1"/>
  <c r="I1115" i="1"/>
  <c r="C1115" i="1"/>
  <c r="G1114" i="1"/>
  <c r="D1113" i="1"/>
  <c r="F1112" i="1"/>
  <c r="D1111" i="1"/>
  <c r="G1110" i="1"/>
  <c r="C1109" i="1"/>
  <c r="I1147" i="1"/>
  <c r="I1145" i="1"/>
  <c r="I1143" i="1"/>
  <c r="I1141" i="1"/>
  <c r="I1139" i="1"/>
  <c r="I1137" i="1"/>
  <c r="I1135" i="1"/>
  <c r="C1129" i="4"/>
  <c r="I1128" i="4"/>
  <c r="C1128" i="4"/>
  <c r="I1127" i="4"/>
  <c r="C1127" i="4"/>
  <c r="I1126" i="4"/>
  <c r="C1126" i="4"/>
  <c r="I1125" i="4"/>
  <c r="K1125" i="4"/>
  <c r="K1124" i="4"/>
  <c r="I1123" i="4"/>
  <c r="K1123" i="4"/>
  <c r="I1122" i="4"/>
  <c r="C1122" i="4"/>
  <c r="I1121" i="4"/>
  <c r="C1121" i="4"/>
  <c r="I1120" i="4"/>
  <c r="C1120" i="4"/>
  <c r="I1119" i="4"/>
  <c r="C1119" i="4"/>
  <c r="I1118" i="4"/>
  <c r="C1118" i="4"/>
  <c r="I1117" i="4"/>
  <c r="K1117" i="4"/>
  <c r="I1116" i="4"/>
  <c r="C1116" i="4"/>
  <c r="I1115" i="4"/>
  <c r="K1115" i="4"/>
  <c r="C1115" i="4"/>
  <c r="I1114" i="4"/>
  <c r="K1114" i="4"/>
  <c r="C1114" i="4"/>
  <c r="I1113" i="4"/>
  <c r="K1113" i="4"/>
  <c r="C1113" i="4"/>
  <c r="I1112" i="4"/>
  <c r="K1112" i="4"/>
  <c r="C1112" i="4"/>
  <c r="I1111" i="4"/>
  <c r="K1111" i="4"/>
  <c r="C1111" i="4"/>
  <c r="I1110" i="4"/>
  <c r="K1110" i="4"/>
  <c r="C1110" i="4"/>
  <c r="I1109" i="4"/>
  <c r="K1109" i="4"/>
  <c r="C1109" i="4"/>
  <c r="I1108" i="4"/>
  <c r="K1108" i="4"/>
  <c r="C1108" i="4"/>
  <c r="I1107" i="4"/>
  <c r="K1107" i="4"/>
  <c r="C1107" i="4"/>
  <c r="I1106" i="4"/>
  <c r="K1106" i="4"/>
  <c r="C1106" i="4"/>
  <c r="I1105" i="4"/>
  <c r="K1105" i="4"/>
  <c r="C1105" i="4"/>
  <c r="I1104" i="4"/>
  <c r="K1104" i="4"/>
  <c r="C1104" i="4"/>
  <c r="I1102" i="4"/>
  <c r="K1102" i="4"/>
  <c r="C1102" i="4"/>
  <c r="I1101" i="4"/>
  <c r="K1101" i="4"/>
  <c r="C1101" i="4"/>
  <c r="I1100" i="4"/>
  <c r="K1100" i="4"/>
  <c r="C1100" i="4"/>
  <c r="I1099" i="4"/>
  <c r="K1099" i="4"/>
  <c r="C1099" i="4"/>
  <c r="I1098" i="4"/>
  <c r="K1098" i="4"/>
  <c r="C1098" i="4"/>
  <c r="I1097" i="4"/>
  <c r="K1097" i="4"/>
  <c r="C1097" i="4"/>
  <c r="I1096" i="4"/>
  <c r="K1096" i="4"/>
  <c r="C1096" i="4"/>
  <c r="I1095" i="4"/>
  <c r="K1095" i="4"/>
  <c r="C1095" i="4"/>
  <c r="I1094" i="4"/>
  <c r="K1094" i="4"/>
  <c r="C1094" i="4"/>
  <c r="I1093" i="4"/>
  <c r="K1093" i="4"/>
  <c r="C1093" i="4"/>
  <c r="I1092" i="4"/>
  <c r="K1092" i="4"/>
  <c r="C1092" i="4"/>
  <c r="I1091" i="4"/>
  <c r="K1091" i="4"/>
  <c r="C1091" i="4"/>
  <c r="I1090" i="4"/>
  <c r="K1090" i="4"/>
  <c r="C1090" i="4"/>
  <c r="I1089" i="4"/>
  <c r="K1089" i="4"/>
  <c r="C1089" i="4"/>
  <c r="I1088" i="4"/>
  <c r="K1088" i="4"/>
  <c r="C1088" i="4"/>
  <c r="I1087" i="4"/>
  <c r="K1087" i="4"/>
  <c r="C1087" i="4"/>
  <c r="I1086" i="4"/>
  <c r="K1086" i="4"/>
  <c r="C1086" i="4"/>
  <c r="I1085" i="4"/>
  <c r="K1085" i="4"/>
  <c r="C1085" i="4"/>
  <c r="I1084" i="4"/>
  <c r="K1084" i="4"/>
  <c r="C1084" i="4"/>
  <c r="I1083" i="4"/>
  <c r="K1083" i="4"/>
  <c r="C1083" i="4"/>
  <c r="I1082" i="4"/>
  <c r="K1082" i="4"/>
  <c r="C1082" i="4"/>
  <c r="K1129" i="4"/>
  <c r="K1128" i="4"/>
  <c r="K1127" i="4"/>
  <c r="K1126" i="4"/>
  <c r="C1125" i="4"/>
  <c r="I1124" i="4"/>
  <c r="C1124" i="4"/>
  <c r="C1123" i="4"/>
  <c r="K1122" i="4"/>
  <c r="K1121" i="4"/>
  <c r="K1120" i="4"/>
  <c r="K1119" i="4"/>
  <c r="K1118" i="4"/>
  <c r="C1117" i="4"/>
  <c r="K1116" i="4"/>
  <c r="B1146" i="1"/>
  <c r="J1142" i="1"/>
  <c r="F1141" i="1"/>
  <c r="B1140" i="1"/>
  <c r="J1138" i="1"/>
  <c r="J1134" i="1"/>
  <c r="F1133" i="1"/>
  <c r="B1132" i="1"/>
  <c r="J1130" i="1"/>
  <c r="J1126" i="1"/>
  <c r="F1125" i="1"/>
  <c r="B1124" i="1"/>
  <c r="J1122" i="1"/>
  <c r="J1118" i="1"/>
  <c r="F1117" i="1"/>
  <c r="B1116" i="1"/>
  <c r="J1114" i="1"/>
  <c r="J1110" i="1"/>
  <c r="F1109" i="1"/>
  <c r="B1108" i="1"/>
  <c r="J1106" i="1"/>
  <c r="J1102" i="1"/>
  <c r="F1101" i="1"/>
  <c r="B1100" i="1"/>
  <c r="J1098" i="1"/>
  <c r="J1094" i="1"/>
  <c r="J1090" i="1"/>
  <c r="J1086" i="1"/>
  <c r="J1080" i="1"/>
  <c r="F1077" i="1"/>
  <c r="F1073" i="1"/>
  <c r="E1127" i="1"/>
  <c r="I1126" i="1"/>
  <c r="E1125" i="1"/>
  <c r="I1124" i="1"/>
  <c r="E1123" i="1"/>
  <c r="I1122" i="1"/>
  <c r="E1121" i="1"/>
  <c r="I1120" i="1"/>
  <c r="E1119" i="1"/>
  <c r="I1118" i="1"/>
  <c r="E1117" i="1"/>
  <c r="I1116" i="1"/>
  <c r="E1115" i="1"/>
  <c r="I1114" i="1"/>
  <c r="E1113" i="1"/>
  <c r="I1112" i="1"/>
  <c r="E1111" i="1"/>
  <c r="I1110" i="1"/>
  <c r="E1109" i="1"/>
  <c r="I1108" i="1"/>
  <c r="E1107" i="1"/>
  <c r="I1106" i="1"/>
  <c r="E1105" i="1"/>
  <c r="I1104" i="1"/>
  <c r="E1103" i="1"/>
  <c r="I1102" i="1"/>
  <c r="E1101" i="1"/>
  <c r="I1100" i="1"/>
  <c r="E1099" i="1"/>
  <c r="I1098" i="1"/>
  <c r="E1097" i="1"/>
  <c r="I1096" i="1"/>
  <c r="E1095" i="1"/>
  <c r="I1094" i="1"/>
  <c r="E1093" i="1"/>
  <c r="I1092" i="1"/>
  <c r="E1091" i="1"/>
  <c r="I1090" i="1"/>
  <c r="E1089" i="1"/>
  <c r="I1088" i="1"/>
  <c r="E1087" i="1"/>
  <c r="I1086" i="1"/>
  <c r="E1085" i="1"/>
  <c r="E1083" i="1"/>
  <c r="E1081" i="1"/>
  <c r="E1079" i="1"/>
  <c r="I1078" i="1"/>
  <c r="E1077" i="1"/>
  <c r="I1076" i="1"/>
  <c r="E1073" i="1"/>
  <c r="I1070" i="1"/>
  <c r="E1069" i="1"/>
  <c r="I1068" i="1"/>
  <c r="E1067" i="1"/>
  <c r="H1088" i="1"/>
  <c r="I1087" i="1"/>
  <c r="E1086" i="1"/>
  <c r="H1086" i="1"/>
  <c r="I1085" i="1"/>
  <c r="G1084" i="1"/>
  <c r="H1084" i="1"/>
  <c r="C1083" i="1"/>
  <c r="E1082" i="1"/>
  <c r="F1082" i="1"/>
  <c r="I1081" i="1"/>
  <c r="D1081" i="1"/>
  <c r="H1080" i="1"/>
  <c r="J1079" i="1"/>
  <c r="B1079" i="1"/>
  <c r="C1079" i="1"/>
  <c r="F1078" i="1"/>
  <c r="I1077" i="1"/>
  <c r="G1076" i="1"/>
  <c r="H1076" i="1"/>
  <c r="C1075" i="1"/>
  <c r="E1074" i="1"/>
  <c r="F1074" i="1"/>
  <c r="I1073" i="1"/>
  <c r="D1073" i="1"/>
  <c r="H1072" i="1"/>
  <c r="I1071" i="1"/>
  <c r="J1071" i="1"/>
  <c r="B1071" i="1"/>
  <c r="C1071" i="1"/>
  <c r="F1070" i="1"/>
  <c r="H1070" i="1"/>
  <c r="I1069" i="1"/>
  <c r="F1068" i="1"/>
  <c r="G1068" i="1"/>
  <c r="H1068" i="1"/>
  <c r="C1067" i="1"/>
  <c r="E1066" i="1"/>
  <c r="F1066" i="1"/>
  <c r="K1081" i="4"/>
  <c r="K1080" i="4"/>
  <c r="I1079" i="4"/>
  <c r="C1079" i="4"/>
  <c r="K1078" i="4"/>
  <c r="I1077" i="4"/>
  <c r="C1077" i="4"/>
  <c r="K1076" i="4"/>
  <c r="I1075" i="4"/>
  <c r="C1075" i="4"/>
  <c r="I1074" i="4"/>
  <c r="C1074" i="4"/>
  <c r="I1073" i="4"/>
  <c r="C1073" i="4"/>
  <c r="K1072" i="4"/>
  <c r="C1071" i="4"/>
  <c r="I1070" i="4"/>
  <c r="C1070" i="4"/>
  <c r="K1069" i="4"/>
  <c r="I1068" i="4"/>
  <c r="K1068" i="4"/>
  <c r="K1067" i="4"/>
  <c r="I1066" i="4"/>
  <c r="C1066" i="4"/>
  <c r="I1065" i="4"/>
  <c r="C1065" i="4"/>
  <c r="K1064" i="4"/>
  <c r="I1063" i="4"/>
  <c r="C1063" i="4"/>
  <c r="K1103" i="4"/>
  <c r="K1062" i="4"/>
  <c r="H1143" i="1"/>
  <c r="H1139" i="1"/>
  <c r="H1135" i="1"/>
  <c r="H1133" i="1"/>
  <c r="H1131" i="1"/>
  <c r="H1127" i="1"/>
  <c r="H1123" i="1"/>
  <c r="H1121" i="1"/>
  <c r="H1119" i="1"/>
  <c r="H1117" i="1"/>
  <c r="H1113" i="1"/>
  <c r="H1107" i="1"/>
  <c r="H1103" i="1"/>
  <c r="H1099" i="1"/>
  <c r="H1097" i="1"/>
  <c r="H1091" i="1"/>
  <c r="H1089" i="1"/>
  <c r="H1087" i="1"/>
  <c r="H1085" i="1"/>
  <c r="D1084" i="1"/>
  <c r="G1083" i="1"/>
  <c r="C1080" i="1"/>
  <c r="D1080" i="1"/>
  <c r="G1079" i="1"/>
  <c r="H1077" i="1"/>
  <c r="D1076" i="1"/>
  <c r="G1075" i="1"/>
  <c r="C1072" i="1"/>
  <c r="D1072" i="1"/>
  <c r="G1071" i="1"/>
  <c r="G1069" i="1"/>
  <c r="H1069" i="1"/>
  <c r="D1068" i="1"/>
  <c r="G1067" i="1"/>
  <c r="D1066" i="1"/>
  <c r="C1065" i="1"/>
  <c r="D1065" i="1"/>
  <c r="G1063" i="1"/>
  <c r="J1063" i="1"/>
  <c r="B1063" i="1"/>
  <c r="G1062" i="1"/>
  <c r="I1081" i="4"/>
  <c r="C1081" i="4"/>
  <c r="I1080" i="4"/>
  <c r="C1080" i="4"/>
  <c r="K1079" i="4"/>
  <c r="I1078" i="4"/>
  <c r="C1078" i="4"/>
  <c r="K1077" i="4"/>
  <c r="I1076" i="4"/>
  <c r="C1076" i="4"/>
  <c r="K1075" i="4"/>
  <c r="K1074" i="4"/>
  <c r="K1073" i="4"/>
  <c r="I1072" i="4"/>
  <c r="C1072" i="4"/>
  <c r="I1071" i="4"/>
  <c r="K1071" i="4"/>
  <c r="K1070" i="4"/>
  <c r="I1069" i="4"/>
  <c r="C1069" i="4"/>
  <c r="C1068" i="4"/>
  <c r="I1067" i="4"/>
  <c r="C1067" i="4"/>
  <c r="K1066" i="4"/>
  <c r="K1065" i="4"/>
  <c r="I1064" i="4"/>
  <c r="C1064" i="4"/>
  <c r="K1063" i="4"/>
  <c r="I1062" i="4"/>
  <c r="I1103" i="4"/>
  <c r="C1103" i="4"/>
  <c r="C1062" i="4"/>
  <c r="H1141" i="1"/>
  <c r="H1137" i="1"/>
  <c r="H1129" i="1"/>
  <c r="H1125" i="1"/>
  <c r="H1115" i="1"/>
  <c r="H1111" i="1"/>
  <c r="H1109" i="1"/>
  <c r="H1105" i="1"/>
  <c r="H1101" i="1"/>
  <c r="H1095" i="1"/>
  <c r="H1093" i="1"/>
  <c r="F1083" i="1"/>
  <c r="J1082" i="1"/>
  <c r="B1082" i="1"/>
  <c r="J1078" i="1"/>
  <c r="B1078" i="1"/>
  <c r="F1075" i="1"/>
  <c r="J1074" i="1"/>
  <c r="B1074" i="1"/>
  <c r="B1072" i="1"/>
  <c r="J1070" i="1"/>
  <c r="B1070" i="1"/>
  <c r="F1067" i="1"/>
  <c r="J1066" i="1"/>
  <c r="B1066" i="1"/>
  <c r="I1065" i="1"/>
  <c r="J1064" i="1"/>
  <c r="B1064" i="1"/>
  <c r="K1063" i="1"/>
  <c r="C1063" i="1"/>
  <c r="J1062" i="1"/>
  <c r="B1062" i="1"/>
  <c r="D1108" i="3"/>
  <c r="D1105" i="3"/>
  <c r="D1102" i="3"/>
  <c r="D1100" i="3"/>
  <c r="D1097" i="3"/>
  <c r="D1094" i="3"/>
  <c r="D1092" i="3"/>
  <c r="D1089" i="3"/>
  <c r="D1086" i="3"/>
  <c r="C1107" i="3"/>
  <c r="C1105" i="3"/>
  <c r="C1102" i="3"/>
  <c r="C1099" i="3"/>
  <c r="C1097" i="3"/>
  <c r="C1094" i="3"/>
  <c r="C1091" i="3"/>
  <c r="C1089" i="3"/>
  <c r="H1148" i="4"/>
  <c r="J1148" i="4"/>
  <c r="H1147" i="4"/>
  <c r="D1147" i="4"/>
  <c r="F1147" i="4"/>
  <c r="D1146" i="4"/>
  <c r="D1145" i="4"/>
  <c r="J1144" i="4"/>
  <c r="H1143" i="4"/>
  <c r="J1143" i="4"/>
  <c r="F1143" i="4"/>
  <c r="D1142" i="4"/>
  <c r="F1142" i="4"/>
  <c r="D1141" i="4"/>
  <c r="J1140" i="4"/>
  <c r="J1139" i="4"/>
  <c r="F1139" i="4"/>
  <c r="J1138" i="4"/>
  <c r="F1138" i="4"/>
  <c r="D1137" i="4"/>
  <c r="B1135" i="4"/>
  <c r="F1135" i="4"/>
  <c r="F1134" i="4"/>
  <c r="F1133" i="4"/>
  <c r="H1132" i="4"/>
  <c r="B1131" i="4"/>
  <c r="F1131" i="4"/>
  <c r="F1130" i="4"/>
  <c r="F1129" i="4"/>
  <c r="F1128" i="4"/>
  <c r="B1127" i="4"/>
  <c r="F1127" i="4"/>
  <c r="H1126" i="4"/>
  <c r="D1126" i="4"/>
  <c r="F1126" i="4"/>
  <c r="H1124" i="4"/>
  <c r="J1124" i="4"/>
  <c r="F1124" i="4"/>
  <c r="J1123" i="4"/>
  <c r="F1123" i="4"/>
  <c r="B1122" i="4"/>
  <c r="F1122" i="4"/>
  <c r="H1121" i="4"/>
  <c r="J1121" i="4"/>
  <c r="F1121" i="4"/>
  <c r="H1120" i="4"/>
  <c r="D1120" i="4"/>
  <c r="F1120" i="4"/>
  <c r="J1119" i="4"/>
  <c r="B1119" i="4"/>
  <c r="F1119" i="4"/>
  <c r="J1118" i="4"/>
  <c r="B1117" i="4"/>
  <c r="D1117" i="4"/>
  <c r="F1117" i="4"/>
  <c r="D1116" i="4"/>
  <c r="F1116" i="4"/>
  <c r="H1115" i="4"/>
  <c r="D1115" i="4"/>
  <c r="H1114" i="4"/>
  <c r="D1114" i="4"/>
  <c r="F1114" i="4"/>
  <c r="H1113" i="4"/>
  <c r="J1113" i="4"/>
  <c r="J1112" i="4"/>
  <c r="B1112" i="4"/>
  <c r="H1111" i="4"/>
  <c r="J1111" i="4"/>
  <c r="B1111" i="4"/>
  <c r="F1111" i="4"/>
  <c r="B1110" i="4"/>
  <c r="F1110" i="4"/>
  <c r="B1109" i="4"/>
  <c r="F1109" i="4"/>
  <c r="J1108" i="4"/>
  <c r="D1108" i="4"/>
  <c r="F1108" i="4"/>
  <c r="J1107" i="4"/>
  <c r="B1107" i="4"/>
  <c r="D1107" i="4"/>
  <c r="B1106" i="4"/>
  <c r="D1106" i="4"/>
  <c r="H1105" i="4"/>
  <c r="D1105" i="4"/>
  <c r="F1105" i="4"/>
  <c r="H1104" i="4"/>
  <c r="D1104" i="4"/>
  <c r="F1104" i="4"/>
  <c r="H1102" i="4"/>
  <c r="J1102" i="4"/>
  <c r="B1102" i="4"/>
  <c r="F1102" i="4"/>
  <c r="H1101" i="4"/>
  <c r="J1101" i="4"/>
  <c r="B1101" i="4"/>
  <c r="D1101" i="4"/>
  <c r="F1101" i="4"/>
  <c r="B1100" i="4"/>
  <c r="D1100" i="4"/>
  <c r="F1100" i="4"/>
  <c r="H1099" i="4"/>
  <c r="J1099" i="4"/>
  <c r="D1099" i="4"/>
  <c r="F1099" i="4"/>
  <c r="H1098" i="4"/>
  <c r="D1098" i="4"/>
  <c r="F1098" i="4"/>
  <c r="H1097" i="4"/>
  <c r="B1097" i="4"/>
  <c r="D1097" i="4"/>
  <c r="F1097" i="4"/>
  <c r="H1096" i="4"/>
  <c r="J1096" i="4"/>
  <c r="F1096" i="4"/>
  <c r="H1095" i="4"/>
  <c r="J1095" i="4"/>
  <c r="F1095" i="4"/>
  <c r="J1094" i="4"/>
  <c r="B1094" i="4"/>
  <c r="D1094" i="4"/>
  <c r="F1094" i="4"/>
  <c r="H1093" i="4"/>
  <c r="J1093" i="4"/>
  <c r="B1093" i="4"/>
  <c r="D1093" i="4"/>
  <c r="F1093" i="4"/>
  <c r="H1092" i="4"/>
  <c r="B1092" i="4"/>
  <c r="D1092" i="4"/>
  <c r="F1092" i="4"/>
  <c r="H1091" i="4"/>
  <c r="B1091" i="4"/>
  <c r="D1091" i="4"/>
  <c r="F1091" i="4"/>
  <c r="H1090" i="4"/>
  <c r="J1090" i="4"/>
  <c r="B1090" i="4"/>
  <c r="D1090" i="4"/>
  <c r="F1090" i="4"/>
  <c r="H1089" i="4"/>
  <c r="J1089" i="4"/>
  <c r="D1089" i="4"/>
  <c r="F1089" i="4"/>
  <c r="H1088" i="4"/>
  <c r="J1088" i="4"/>
  <c r="B1088" i="4"/>
  <c r="D1088" i="4"/>
  <c r="F1088" i="4"/>
  <c r="H1087" i="4"/>
  <c r="J1087" i="4"/>
  <c r="D1087" i="4"/>
  <c r="F1087" i="4"/>
  <c r="H1086" i="4"/>
  <c r="J1086" i="4"/>
  <c r="F1086" i="4"/>
  <c r="H1085" i="4"/>
  <c r="J1085" i="4"/>
  <c r="D1085" i="4"/>
  <c r="H1084" i="4"/>
  <c r="J1084" i="4"/>
  <c r="B1084" i="4"/>
  <c r="H1083" i="4"/>
  <c r="J1083" i="4"/>
  <c r="B1083" i="4"/>
  <c r="J1082" i="4"/>
  <c r="B1082" i="4"/>
  <c r="D1082" i="4"/>
  <c r="F1082" i="4"/>
  <c r="B1081" i="4"/>
  <c r="D1081" i="4"/>
  <c r="F1081" i="4"/>
  <c r="H1080" i="4"/>
  <c r="J1080" i="4"/>
  <c r="D1080" i="4"/>
  <c r="H1079" i="4"/>
  <c r="J1079" i="4"/>
  <c r="B1079" i="4"/>
  <c r="D1079" i="4"/>
  <c r="F1079" i="4"/>
  <c r="H1078" i="4"/>
  <c r="B1078" i="4"/>
  <c r="D1078" i="4"/>
  <c r="F1078" i="4"/>
  <c r="H1077" i="4"/>
  <c r="J1077" i="4"/>
  <c r="B1077" i="4"/>
  <c r="F1077" i="4"/>
  <c r="H1076" i="4"/>
  <c r="J1076" i="4"/>
  <c r="D1076" i="4"/>
  <c r="F1076" i="4"/>
  <c r="H1075" i="4"/>
  <c r="B1075" i="4"/>
  <c r="D1075" i="4"/>
  <c r="F1075" i="4"/>
  <c r="H1074" i="4"/>
  <c r="J1074" i="4"/>
  <c r="H1073" i="4"/>
  <c r="J1073" i="4"/>
  <c r="B1073" i="4"/>
  <c r="F1073" i="4"/>
  <c r="J1072" i="4"/>
  <c r="B1072" i="4"/>
  <c r="D1072" i="4"/>
  <c r="J1071" i="4"/>
  <c r="B1071" i="4"/>
  <c r="D1071" i="4"/>
  <c r="H1070" i="4"/>
  <c r="B1070" i="4"/>
  <c r="D1070" i="4"/>
  <c r="B1069" i="4"/>
  <c r="D1069" i="4"/>
  <c r="F1069" i="4"/>
  <c r="D1068" i="4"/>
  <c r="F1068" i="4"/>
  <c r="H1067" i="4"/>
  <c r="J1067" i="4"/>
  <c r="F1067" i="4"/>
  <c r="H1066" i="4"/>
  <c r="J1066" i="4"/>
  <c r="B1066" i="4"/>
  <c r="D1066" i="4"/>
  <c r="F1066" i="4"/>
  <c r="H1065" i="4"/>
  <c r="B1065" i="4"/>
  <c r="D1065" i="4"/>
  <c r="F1065" i="4"/>
  <c r="H1064" i="4"/>
  <c r="J1064" i="4"/>
  <c r="B1064" i="4"/>
  <c r="F1064" i="4"/>
  <c r="H1063" i="4"/>
  <c r="J1063" i="4"/>
  <c r="D1063" i="4"/>
  <c r="F1063" i="4"/>
  <c r="J1103" i="4"/>
  <c r="J1062" i="4"/>
  <c r="B1103" i="4"/>
  <c r="B1062" i="4"/>
  <c r="D1103" i="4"/>
  <c r="F1062" i="4"/>
  <c r="F1103" i="4"/>
  <c r="B1136" i="4"/>
  <c r="D1135" i="4"/>
  <c r="H1133" i="4"/>
  <c r="J1132" i="4"/>
  <c r="B1132" i="4"/>
  <c r="D1131" i="4"/>
  <c r="H1129" i="4"/>
  <c r="H1128" i="4"/>
  <c r="J1128" i="4"/>
  <c r="H1127" i="4"/>
  <c r="J1127" i="4"/>
  <c r="J1126" i="4"/>
  <c r="B1126" i="4"/>
  <c r="J1125" i="4"/>
  <c r="B1125" i="4"/>
  <c r="B1124" i="4"/>
  <c r="D1124" i="4"/>
  <c r="B1123" i="4"/>
  <c r="D1123" i="4"/>
  <c r="D1122" i="4"/>
  <c r="D1121" i="4"/>
  <c r="H1119" i="4"/>
  <c r="H1118" i="4"/>
  <c r="H1117" i="4"/>
  <c r="J1117" i="4"/>
  <c r="H1116" i="4"/>
  <c r="J1116" i="4"/>
  <c r="B1116" i="4"/>
  <c r="J1115" i="4"/>
  <c r="B1115" i="4"/>
  <c r="J1114" i="4"/>
  <c r="B1114" i="4"/>
  <c r="B1113" i="4"/>
  <c r="D1113" i="4"/>
  <c r="D1112" i="4"/>
  <c r="D1111" i="4"/>
  <c r="D1110" i="4"/>
  <c r="H1109" i="4"/>
  <c r="H1108" i="4"/>
  <c r="H1107" i="4"/>
  <c r="H1106" i="4"/>
  <c r="J1106" i="4"/>
  <c r="J1105" i="4"/>
  <c r="B1105" i="4"/>
  <c r="J1104" i="4"/>
  <c r="B1104" i="4"/>
  <c r="D1102" i="4"/>
  <c r="A1089" i="2" l="1"/>
  <c r="B1088" i="2"/>
  <c r="E1111" i="3"/>
  <c r="A1112" i="3"/>
  <c r="C1111" i="3"/>
  <c r="B1111" i="3"/>
  <c r="D1111" i="3"/>
  <c r="B1112" i="3" l="1"/>
  <c r="C1112" i="3"/>
  <c r="D1112" i="3"/>
  <c r="E1112" i="3"/>
  <c r="A1113" i="3"/>
  <c r="B1089" i="2"/>
  <c r="A1090" i="2"/>
  <c r="C1113" i="3" l="1"/>
  <c r="D1113" i="3"/>
  <c r="E1113" i="3"/>
  <c r="B1113" i="3"/>
  <c r="A1114" i="3"/>
  <c r="B1090" i="2"/>
  <c r="A1091" i="2"/>
  <c r="A1092" i="2" l="1"/>
  <c r="B1091" i="2"/>
  <c r="A1115" i="3"/>
  <c r="D1114" i="3"/>
  <c r="E1114" i="3"/>
  <c r="B1114" i="3"/>
  <c r="C1114" i="3"/>
  <c r="B1115" i="3" l="1"/>
  <c r="C1115" i="3"/>
  <c r="D1115" i="3"/>
  <c r="E1115" i="3"/>
  <c r="A1116" i="3"/>
  <c r="A1093" i="2"/>
  <c r="B1092" i="2"/>
  <c r="B1093" i="2" l="1"/>
  <c r="A1094" i="2"/>
  <c r="D1116" i="3"/>
  <c r="E1116" i="3"/>
  <c r="A1117" i="3"/>
  <c r="C1116" i="3"/>
  <c r="B1116" i="3"/>
  <c r="C1117" i="3" l="1"/>
  <c r="D1117" i="3"/>
  <c r="E1117" i="3"/>
  <c r="B1117" i="3"/>
  <c r="A1118" i="3"/>
  <c r="B1094" i="2"/>
  <c r="A1095" i="2"/>
  <c r="B1118" i="3" l="1"/>
  <c r="C1118" i="3"/>
  <c r="D1118" i="3"/>
  <c r="E1118" i="3"/>
  <c r="A1119" i="3"/>
  <c r="B1095" i="2"/>
  <c r="A1096" i="2"/>
  <c r="A1097" i="2" l="1"/>
  <c r="B1096" i="2"/>
  <c r="E1119" i="3"/>
  <c r="A1120" i="3"/>
  <c r="D1119" i="3"/>
  <c r="B1119" i="3"/>
  <c r="C1119" i="3"/>
  <c r="B1120" i="3" l="1"/>
  <c r="C1120" i="3"/>
  <c r="D1120" i="3"/>
  <c r="E1120" i="3"/>
  <c r="A1121" i="3"/>
  <c r="B1097" i="2"/>
  <c r="A1098" i="2"/>
  <c r="C1121" i="3" l="1"/>
  <c r="D1121" i="3"/>
  <c r="E1121" i="3"/>
  <c r="A1122" i="3"/>
  <c r="B1121" i="3"/>
  <c r="A1099" i="2"/>
  <c r="B1098" i="2"/>
  <c r="B1099" i="2" l="1"/>
  <c r="A1100" i="2"/>
  <c r="A1123" i="3"/>
  <c r="C1122" i="3"/>
  <c r="D1122" i="3"/>
  <c r="E1122" i="3"/>
  <c r="B1122" i="3"/>
  <c r="B1123" i="3" l="1"/>
  <c r="C1123" i="3"/>
  <c r="D1123" i="3"/>
  <c r="E1123" i="3"/>
  <c r="A1124" i="3"/>
  <c r="A1101" i="2"/>
  <c r="B1100" i="2"/>
  <c r="B1101" i="2" l="1"/>
  <c r="A1102" i="2"/>
  <c r="D1124" i="3"/>
  <c r="E1124" i="3"/>
  <c r="A1125" i="3"/>
  <c r="B1124" i="3"/>
  <c r="C1124" i="3"/>
  <c r="B1125" i="3" l="1"/>
  <c r="C1125" i="3"/>
  <c r="D1125" i="3"/>
  <c r="E1125" i="3"/>
  <c r="A1126" i="3"/>
  <c r="A1103" i="2"/>
  <c r="B1102" i="2"/>
  <c r="A1104" i="2" l="1"/>
  <c r="B1103" i="2"/>
  <c r="B1126" i="3"/>
  <c r="C1126" i="3"/>
  <c r="D1126" i="3"/>
  <c r="A1127" i="3"/>
  <c r="E1126" i="3"/>
  <c r="A1105" i="2" l="1"/>
  <c r="B1104" i="2"/>
  <c r="E1127" i="3"/>
  <c r="A1128" i="3"/>
  <c r="C1127" i="3"/>
  <c r="D1127" i="3"/>
  <c r="B1127" i="3"/>
  <c r="B1128" i="3" l="1"/>
  <c r="C1128" i="3"/>
  <c r="D1128" i="3"/>
  <c r="E1128" i="3"/>
  <c r="A1129" i="3"/>
  <c r="B1105" i="2"/>
  <c r="A1106" i="2"/>
  <c r="B1106" i="2" l="1"/>
  <c r="A1107" i="2"/>
  <c r="C1129" i="3"/>
  <c r="D1129" i="3"/>
  <c r="E1129" i="3"/>
  <c r="B1129" i="3"/>
  <c r="A1130" i="3"/>
  <c r="A1131" i="3" l="1"/>
  <c r="B1130" i="3"/>
  <c r="C1130" i="3"/>
  <c r="D1130" i="3"/>
  <c r="E1130" i="3"/>
  <c r="A1108" i="2"/>
  <c r="B1107" i="2"/>
  <c r="A1109" i="2" l="1"/>
  <c r="B1108" i="2"/>
  <c r="B1131" i="3"/>
  <c r="C1131" i="3"/>
  <c r="A1132" i="3"/>
  <c r="E1131" i="3"/>
  <c r="D1131" i="3"/>
  <c r="D1132" i="3" l="1"/>
  <c r="E1132" i="3"/>
  <c r="A1133" i="3"/>
  <c r="C1132" i="3"/>
  <c r="B1132" i="3"/>
  <c r="B1109" i="2"/>
  <c r="A1110" i="2"/>
  <c r="G1110" i="2" l="1"/>
  <c r="H1110" i="2"/>
  <c r="A1111" i="2"/>
  <c r="B1110" i="2"/>
  <c r="C1110" i="2"/>
  <c r="I1110" i="2"/>
  <c r="F1110" i="2"/>
  <c r="J1110" i="2"/>
  <c r="D1110" i="2"/>
  <c r="E1110" i="2"/>
  <c r="B1133" i="3"/>
  <c r="C1133" i="3"/>
  <c r="D1133" i="3"/>
  <c r="E1133" i="3"/>
  <c r="A1134" i="3"/>
  <c r="B1134" i="3" l="1"/>
  <c r="C1134" i="3"/>
  <c r="D1134" i="3"/>
  <c r="E1134" i="3"/>
  <c r="A1135" i="3"/>
  <c r="E1111" i="2"/>
  <c r="F1111" i="2"/>
  <c r="A1112" i="2"/>
  <c r="B1111" i="2"/>
  <c r="C1111" i="2"/>
  <c r="I1111" i="2"/>
  <c r="D1111" i="2"/>
  <c r="J1111" i="2"/>
  <c r="H1111" i="2"/>
  <c r="G1111" i="2"/>
  <c r="E1135" i="3" l="1"/>
  <c r="A1136" i="3"/>
  <c r="B1135" i="3"/>
  <c r="C1135" i="3"/>
  <c r="D1135" i="3"/>
  <c r="C1112" i="2"/>
  <c r="A1113" i="2"/>
  <c r="D1112" i="2"/>
  <c r="B1112" i="2"/>
  <c r="E1112" i="2"/>
  <c r="I1112" i="2"/>
  <c r="H1112" i="2"/>
  <c r="J1112" i="2"/>
  <c r="F1112" i="2"/>
  <c r="G1112" i="2"/>
  <c r="I1113" i="2" l="1"/>
  <c r="B1113" i="2"/>
  <c r="J1113" i="2"/>
  <c r="C1113" i="2"/>
  <c r="D1113" i="2"/>
  <c r="E1113" i="2"/>
  <c r="A1114" i="2"/>
  <c r="F1113" i="2"/>
  <c r="H1113" i="2"/>
  <c r="G1113" i="2"/>
  <c r="B1136" i="3"/>
  <c r="A1137" i="3"/>
  <c r="E1136" i="3"/>
  <c r="C1136" i="3"/>
  <c r="D1136" i="3"/>
  <c r="G1114" i="2" l="1"/>
  <c r="H1114" i="2"/>
  <c r="C1114" i="2"/>
  <c r="D1114" i="2"/>
  <c r="E1114" i="2"/>
  <c r="A1115" i="2"/>
  <c r="J1114" i="2"/>
  <c r="B1114" i="2"/>
  <c r="F1114" i="2"/>
  <c r="I1114" i="2"/>
  <c r="C1137" i="3"/>
  <c r="D1137" i="3"/>
  <c r="E1137" i="3"/>
  <c r="A1138" i="3"/>
  <c r="B1137" i="3"/>
  <c r="A1139" i="3" l="1"/>
  <c r="B1138" i="3"/>
  <c r="C1138" i="3"/>
  <c r="D1138" i="3"/>
  <c r="E1138" i="3"/>
  <c r="E1115" i="2"/>
  <c r="F1115" i="2"/>
  <c r="C1115" i="2"/>
  <c r="D1115" i="2"/>
  <c r="G1115" i="2"/>
  <c r="A1116" i="2"/>
  <c r="B1115" i="2"/>
  <c r="H1115" i="2"/>
  <c r="I1115" i="2"/>
  <c r="J1115" i="2"/>
  <c r="C1116" i="2" l="1"/>
  <c r="A1117" i="2"/>
  <c r="D1116" i="2"/>
  <c r="E1116" i="2"/>
  <c r="F1116" i="2"/>
  <c r="G1116" i="2"/>
  <c r="J1116" i="2"/>
  <c r="B1116" i="2"/>
  <c r="H1116" i="2"/>
  <c r="I1116" i="2"/>
  <c r="B1139" i="3"/>
  <c r="C1139" i="3"/>
  <c r="E1139" i="3"/>
  <c r="A1140" i="3"/>
  <c r="D1139" i="3"/>
  <c r="D1140" i="3" l="1"/>
  <c r="E1140" i="3"/>
  <c r="A1141" i="3"/>
  <c r="B1140" i="3"/>
  <c r="C1140" i="3"/>
  <c r="I1117" i="2"/>
  <c r="B1117" i="2"/>
  <c r="J1117" i="2"/>
  <c r="E1117" i="2"/>
  <c r="F1117" i="2"/>
  <c r="G1117" i="2"/>
  <c r="C1117" i="2"/>
  <c r="D1117" i="2"/>
  <c r="H1117" i="2"/>
  <c r="A1118" i="2"/>
  <c r="G1118" i="2" l="1"/>
  <c r="H1118" i="2"/>
  <c r="E1118" i="2"/>
  <c r="F1118" i="2"/>
  <c r="I1118" i="2"/>
  <c r="C1118" i="2"/>
  <c r="D1118" i="2"/>
  <c r="J1118" i="2"/>
  <c r="B1118" i="2"/>
  <c r="A1119" i="2"/>
  <c r="B1141" i="3"/>
  <c r="A1142" i="3"/>
  <c r="E1141" i="3"/>
  <c r="C1141" i="3"/>
  <c r="D1141" i="3"/>
  <c r="B1142" i="3" l="1"/>
  <c r="C1142" i="3"/>
  <c r="D1142" i="3"/>
  <c r="A1143" i="3"/>
  <c r="E1142" i="3"/>
  <c r="E1119" i="2"/>
  <c r="F1119" i="2"/>
  <c r="G1119" i="2"/>
  <c r="H1119" i="2"/>
  <c r="I1119" i="2"/>
  <c r="C1119" i="2"/>
  <c r="B1119" i="2"/>
  <c r="D1119" i="2"/>
  <c r="J1119" i="2"/>
  <c r="A1120" i="2"/>
  <c r="C1120" i="2" l="1"/>
  <c r="A1121" i="2"/>
  <c r="D1120" i="2"/>
  <c r="G1120" i="2"/>
  <c r="H1120" i="2"/>
  <c r="I1120" i="2"/>
  <c r="E1120" i="2"/>
  <c r="F1120" i="2"/>
  <c r="J1120" i="2"/>
  <c r="B1120" i="2"/>
  <c r="E1143" i="3"/>
  <c r="A1144" i="3"/>
  <c r="B1143" i="3"/>
  <c r="C1143" i="3"/>
  <c r="D1143" i="3"/>
  <c r="B1144" i="3" l="1"/>
  <c r="E1144" i="3"/>
  <c r="A1145" i="3"/>
  <c r="D1144" i="3"/>
  <c r="C1144" i="3"/>
  <c r="I1121" i="2"/>
  <c r="B1121" i="2"/>
  <c r="J1121" i="2"/>
  <c r="G1121" i="2"/>
  <c r="H1121" i="2"/>
  <c r="A1122" i="2"/>
  <c r="E1121" i="2"/>
  <c r="D1121" i="2"/>
  <c r="F1121" i="2"/>
  <c r="C1121" i="2"/>
  <c r="G1122" i="2" l="1"/>
  <c r="H1122" i="2"/>
  <c r="I1122" i="2"/>
  <c r="J1122" i="2"/>
  <c r="A1123" i="2"/>
  <c r="E1122" i="2"/>
  <c r="B1122" i="2"/>
  <c r="F1122" i="2"/>
  <c r="C1122" i="2"/>
  <c r="D1122" i="2"/>
  <c r="C1145" i="3"/>
  <c r="D1145" i="3"/>
  <c r="E1145" i="3"/>
  <c r="B1145" i="3"/>
  <c r="A1146" i="3"/>
  <c r="A1147" i="3" l="1"/>
  <c r="B1146" i="3"/>
  <c r="E1146" i="3"/>
  <c r="C1146" i="3"/>
  <c r="D1146" i="3"/>
  <c r="E1123" i="2"/>
  <c r="F1123" i="2"/>
  <c r="I1123" i="2"/>
  <c r="J1123" i="2"/>
  <c r="A1124" i="2"/>
  <c r="G1123" i="2"/>
  <c r="D1123" i="2"/>
  <c r="H1123" i="2"/>
  <c r="B1123" i="2"/>
  <c r="C1123" i="2"/>
  <c r="C1124" i="2" l="1"/>
  <c r="A1125" i="2"/>
  <c r="D1124" i="2"/>
  <c r="I1124" i="2"/>
  <c r="J1124" i="2"/>
  <c r="G1124" i="2"/>
  <c r="B1124" i="2"/>
  <c r="H1124" i="2"/>
  <c r="E1124" i="2"/>
  <c r="F1124" i="2"/>
  <c r="B1147" i="3"/>
  <c r="C1147" i="3"/>
  <c r="A1148" i="3"/>
  <c r="D1147" i="3"/>
  <c r="E1147" i="3"/>
  <c r="D1148" i="3" l="1"/>
  <c r="E1148" i="3"/>
  <c r="B1148" i="3"/>
  <c r="C1148" i="3"/>
  <c r="B1125" i="2"/>
  <c r="J1125" i="2"/>
  <c r="I1125" i="2"/>
  <c r="A1126" i="2"/>
  <c r="C1125" i="2"/>
  <c r="G1125" i="2"/>
  <c r="F1125" i="2"/>
  <c r="H1125" i="2"/>
  <c r="D1125" i="2"/>
  <c r="E1125" i="2"/>
  <c r="H1126" i="2" l="1"/>
  <c r="I1126" i="2"/>
  <c r="J1126" i="2"/>
  <c r="B1126" i="2"/>
  <c r="A1127" i="2"/>
  <c r="F1126" i="2"/>
  <c r="C1126" i="2"/>
  <c r="G1126" i="2"/>
  <c r="D1126" i="2"/>
  <c r="E1126" i="2"/>
  <c r="F1127" i="2" l="1"/>
  <c r="H1127" i="2"/>
  <c r="I1127" i="2"/>
  <c r="J1127" i="2"/>
  <c r="E1127" i="2"/>
  <c r="D1127" i="2"/>
  <c r="G1127" i="2"/>
  <c r="A1128" i="2"/>
  <c r="B1127" i="2"/>
  <c r="C1127" i="2"/>
  <c r="D1128" i="2" l="1"/>
  <c r="G1128" i="2"/>
  <c r="H1128" i="2"/>
  <c r="I1128" i="2"/>
  <c r="E1128" i="2"/>
  <c r="F1128" i="2"/>
  <c r="J1128" i="2"/>
  <c r="C1128" i="2"/>
  <c r="A1129" i="2"/>
  <c r="B1128" i="2"/>
  <c r="B1129" i="2" l="1"/>
  <c r="J1129" i="2"/>
  <c r="F1129" i="2"/>
  <c r="G1129" i="2"/>
  <c r="H1129" i="2"/>
  <c r="D1129" i="2"/>
  <c r="C1129" i="2"/>
  <c r="E1129" i="2"/>
  <c r="I1129" i="2"/>
  <c r="A1130" i="2"/>
  <c r="H1130" i="2" l="1"/>
  <c r="E1130" i="2"/>
  <c r="F1130" i="2"/>
  <c r="G1130" i="2"/>
  <c r="C1130" i="2"/>
  <c r="A1131" i="2"/>
  <c r="D1130" i="2"/>
  <c r="I1130" i="2"/>
  <c r="B1130" i="2"/>
  <c r="J1130" i="2"/>
  <c r="F1131" i="2" l="1"/>
  <c r="D1131" i="2"/>
  <c r="E1131" i="2"/>
  <c r="G1131" i="2"/>
  <c r="B1131" i="2"/>
  <c r="A1132" i="2"/>
  <c r="C1131" i="2"/>
  <c r="H1131" i="2"/>
  <c r="I1131" i="2"/>
  <c r="J1131" i="2"/>
  <c r="D1132" i="2" l="1"/>
  <c r="C1132" i="2"/>
  <c r="E1132" i="2"/>
  <c r="F1132" i="2"/>
  <c r="J1132" i="2"/>
  <c r="I1132" i="2"/>
  <c r="A1133" i="2"/>
  <c r="B1132" i="2"/>
  <c r="G1132" i="2"/>
  <c r="H1132" i="2"/>
  <c r="B1133" i="2" l="1"/>
  <c r="J1133" i="2"/>
  <c r="C1133" i="2"/>
  <c r="D1133" i="2"/>
  <c r="E1133" i="2"/>
  <c r="I1133" i="2"/>
  <c r="F1133" i="2"/>
  <c r="A1134" i="2"/>
  <c r="G1133" i="2"/>
  <c r="H1133" i="2"/>
  <c r="H1134" i="2" l="1"/>
  <c r="B1134" i="2"/>
  <c r="A1135" i="2"/>
  <c r="C1134" i="2"/>
  <c r="D1134" i="2"/>
  <c r="I1134" i="2"/>
  <c r="G1134" i="2"/>
  <c r="J1134" i="2"/>
  <c r="E1134" i="2"/>
  <c r="F1134" i="2"/>
  <c r="F1135" i="2" l="1"/>
  <c r="J1135" i="2"/>
  <c r="B1135" i="2"/>
  <c r="A1136" i="2"/>
  <c r="C1135" i="2"/>
  <c r="H1135" i="2"/>
  <c r="D1135" i="2"/>
  <c r="I1135" i="2"/>
  <c r="E1135" i="2"/>
  <c r="G1135" i="2"/>
  <c r="D1136" i="2" l="1"/>
  <c r="I1136" i="2"/>
  <c r="J1136" i="2"/>
  <c r="B1136" i="2"/>
  <c r="A1137" i="2"/>
  <c r="G1136" i="2"/>
  <c r="F1136" i="2"/>
  <c r="H1136" i="2"/>
  <c r="C1136" i="2"/>
  <c r="E1136" i="2"/>
  <c r="B1137" i="2" l="1"/>
  <c r="J1137" i="2"/>
  <c r="H1137" i="2"/>
  <c r="I1137" i="2"/>
  <c r="A1138" i="2"/>
  <c r="F1137" i="2"/>
  <c r="C1137" i="2"/>
  <c r="G1137" i="2"/>
  <c r="E1137" i="2"/>
  <c r="D1137" i="2"/>
  <c r="H1138" i="2" l="1"/>
  <c r="G1138" i="2"/>
  <c r="I1138" i="2"/>
  <c r="J1138" i="2"/>
  <c r="E1138" i="2"/>
  <c r="D1138" i="2"/>
  <c r="F1138" i="2"/>
  <c r="A1139" i="2"/>
  <c r="B1138" i="2"/>
  <c r="C1138" i="2"/>
  <c r="F1139" i="2" l="1"/>
  <c r="G1139" i="2"/>
  <c r="H1139" i="2"/>
  <c r="I1139" i="2"/>
  <c r="D1139" i="2"/>
  <c r="E1139" i="2"/>
  <c r="J1139" i="2"/>
  <c r="A1140" i="2"/>
  <c r="B1139" i="2"/>
  <c r="C1139" i="2"/>
  <c r="D1140" i="2" l="1"/>
  <c r="F1140" i="2"/>
  <c r="G1140" i="2"/>
  <c r="H1140" i="2"/>
  <c r="C1140" i="2"/>
  <c r="B1140" i="2"/>
  <c r="E1140" i="2"/>
  <c r="I1140" i="2"/>
  <c r="J1140" i="2"/>
  <c r="A1141" i="2"/>
  <c r="B1141" i="2" l="1"/>
  <c r="J1141" i="2"/>
  <c r="E1141" i="2"/>
  <c r="F1141" i="2"/>
  <c r="G1141" i="2"/>
  <c r="C1141" i="2"/>
  <c r="A1142" i="2"/>
  <c r="D1141" i="2"/>
  <c r="H1141" i="2"/>
  <c r="I1141" i="2"/>
  <c r="H1142" i="2" l="1"/>
  <c r="D1142" i="2"/>
  <c r="E1142" i="2"/>
  <c r="F1142" i="2"/>
  <c r="B1142" i="2"/>
  <c r="A1143" i="2"/>
  <c r="C1142" i="2"/>
  <c r="G1142" i="2"/>
  <c r="J1142" i="2"/>
  <c r="I1142" i="2"/>
  <c r="F1143" i="2" l="1"/>
  <c r="C1143" i="2"/>
  <c r="D1143" i="2"/>
  <c r="E1143" i="2"/>
  <c r="J1143" i="2"/>
  <c r="I1143" i="2"/>
  <c r="A1144" i="2"/>
  <c r="B1143" i="2"/>
  <c r="G1143" i="2"/>
  <c r="H1143" i="2"/>
  <c r="D1144" i="2" l="1"/>
  <c r="B1144" i="2"/>
  <c r="A1145" i="2"/>
  <c r="C1144" i="2"/>
  <c r="E1144" i="2"/>
  <c r="I1144" i="2"/>
  <c r="F1144" i="2"/>
  <c r="J1144" i="2"/>
  <c r="H1144" i="2"/>
  <c r="G1144" i="2"/>
  <c r="B1145" i="2" l="1"/>
  <c r="J1145" i="2"/>
  <c r="A1146" i="2"/>
  <c r="C1145" i="2"/>
  <c r="D1145" i="2"/>
  <c r="H1145" i="2"/>
  <c r="G1145" i="2"/>
  <c r="I1145" i="2"/>
  <c r="E1145" i="2"/>
  <c r="F1145" i="2"/>
  <c r="H1146" i="2" l="1"/>
  <c r="J1146" i="2"/>
  <c r="B1146" i="2"/>
  <c r="A1147" i="2"/>
  <c r="C1146" i="2"/>
  <c r="G1146" i="2"/>
  <c r="D1146" i="2"/>
  <c r="I1146" i="2"/>
  <c r="E1146" i="2"/>
  <c r="F1146" i="2"/>
  <c r="F1147" i="2" l="1"/>
  <c r="I1147" i="2"/>
  <c r="J1147" i="2"/>
  <c r="B1147" i="2"/>
  <c r="A1148" i="2"/>
  <c r="G1147" i="2"/>
  <c r="E1147" i="2"/>
  <c r="H1147" i="2"/>
  <c r="C1147" i="2"/>
  <c r="D1147" i="2"/>
  <c r="D1148" i="2" l="1"/>
  <c r="H1148" i="2"/>
  <c r="I1148" i="2"/>
  <c r="J1148" i="2"/>
  <c r="F1148" i="2"/>
  <c r="B1148" i="2"/>
  <c r="G1148" i="2"/>
  <c r="C1148" i="2"/>
  <c r="E1148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<sst xmlns="http://schemas.openxmlformats.org/spreadsheetml/2006/main" count="161" uniqueCount="74">
  <si>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</si>
  <si>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</si>
  <si>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</si>
  <si>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</si>
  <si>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</si>
  <si>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</si>
  <si>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</si>
  <si>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</si>
  <si>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</si>
  <si>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</si>
  <si>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</si>
  <si>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</si>
  <si>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</si>
  <si>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</si>
  <si>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</si>
  <si>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</si>
  <si>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</si>
  <si>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</si>
  <si>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</si>
  <si>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</si>
  <si>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</si>
  <si>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</si>
  <si>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</si>
  <si>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</si>
  <si>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</si>
  <si>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November 03, 2014 - LYSTRA LOUTAN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</si>
  <si>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</si>
  <si>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</si>
  <si>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</si>
  <si>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</si>
  <si>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</si>
  <si>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</si>
  <si>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</si>
  <si>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</si>
  <si>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</si>
  <si>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</si>
  <si>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</si>
  <si>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</si>
  <si>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</si>
  <si>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</si>
  <si>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</si>
  <si>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</si>
  <si>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</si>
  <si>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</si>
  <si>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</si>
  <si>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</si>
  <si>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</si>
  <si>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</si>
  <si>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</si>
  <si>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</si>
  <si>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</si>
  <si>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</si>
  <si>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</si>
  <si>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</si>
  <si>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</si>
  <si>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</si>
  <si>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</si>
  <si>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</si>
  <si>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</si>
  <si>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</si>
  <si>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</si>
  <si>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</si>
  <si>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</si>
  <si>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</si>
  <si>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</si>
  <si>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</si>
  <si>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</si>
  <si>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</si>
  <si>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</si>
  <si>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Tab 4 of 5</t>
  </si>
  <si>
    <t>Tab 5 of 5</t>
  </si>
  <si>
    <t>Tab 3 of 5</t>
  </si>
  <si>
    <t>Tab 2 of 5</t>
  </si>
  <si>
    <t>Attachment No.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</si>
</sst>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</cellStyleXfs>
  <cellXfs count="100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166" fontId="3" fillId="6" borderId="0" xfId="4" applyNumberFormat="1" applyFont="1" applyFill="1" applyAlignment="1">
      <alignment horizontal="center"/>
    </xf>
    <xf numFmtId="166" fontId="3" fillId="0" borderId="0" xfId="4" applyNumberFormat="1" applyFont="1" applyFill="1" applyAlignment="1">
      <alignment horizontal="center"/>
    </xf>
    <xf numFmtId="167" fontId="5" fillId="7" borderId="0" xfId="4" applyNumberFormat="1" applyFont="1" applyFill="1" applyAlignment="1">
      <alignment horizontal="center"/>
    </xf>
    <xf numFmtId="167" fontId="5" fillId="8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9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10" borderId="0" xfId="4" applyNumberFormat="1" applyFont="1" applyFill="1" applyAlignment="1">
      <alignment horizontal="center"/>
    </xf>
    <xf numFmtId="0" fontId="6" fillId="10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11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11" borderId="0" xfId="4" applyNumberFormat="1" applyFont="1" applyFill="1" applyAlignment="1">
      <alignment horizontal="center"/>
    </xf>
    <xf numFmtId="171" fontId="6" fillId="12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12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3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11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5" borderId="0" xfId="3" applyFont="1" applyFill="1" applyAlignment="1">
      <alignment horizontal="center"/>
    </xf>
    <xf numFmtId="0" fontId="12" fillId="15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6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3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10" borderId="0" xfId="4" quotePrefix="1" applyNumberFormat="1" applyFont="1" applyFill="1" applyAlignment="1">
      <alignment horizontal="center"/>
    </xf>
    <xf numFmtId="15" fontId="6" fillId="10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9" borderId="0" xfId="4" quotePrefix="1" applyFont="1" applyFill="1" applyAlignment="1">
      <alignment horizontal="center"/>
    </xf>
    <xf numFmtId="0" fontId="6" fillId="14" borderId="0" xfId="4" quotePrefix="1" applyFont="1" applyFill="1" applyAlignment="1">
      <alignment horizontal="center"/>
    </xf>
    <xf numFmtId="0" fontId="6" fillId="6" borderId="0" xfId="4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12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0" fontId="6" fillId="14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45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urrency" xfId="2" builtinId="4"/>
    <cellStyle name="Normal" xfId="0" builtinId="0"/>
    <cellStyle name="Normal 2" xfId="28"/>
    <cellStyle name="Normal 2 2" xfId="29"/>
    <cellStyle name="Normal 2 2 2" xfId="30"/>
    <cellStyle name="Normal 2 3" xfId="31"/>
    <cellStyle name="Normal 2 3 2" xfId="32"/>
    <cellStyle name="Normal 2 4" xfId="33"/>
    <cellStyle name="Normal 2 4 2" xfId="34"/>
    <cellStyle name="Normal 2 5" xfId="35"/>
    <cellStyle name="Normal 2 6" xfId="36"/>
    <cellStyle name="Normal 3" xfId="37"/>
    <cellStyle name="Normal 4" xfId="38"/>
    <cellStyle name="Normal 5" xfId="39"/>
    <cellStyle name="Normal 5 2" xfId="40"/>
    <cellStyle name="Normal 6" xfId="41"/>
    <cellStyle name="Normal 6 2" xfId="42"/>
    <cellStyle name="Normal 7" xfId="43"/>
    <cellStyle name="Normal 7 2" xfId="44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4.zip\2014\11.%20November\141103%202014%20-%202100%20LONG-TERM%20FORECAST%20FPL%20METHODOLOGY%20Rev%201%20update%20WTI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SO2 &amp; NOX Calculations"/>
      <sheetName val="COAL - Monthly"/>
      <sheetName val="COAL &amp; PET COKE 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63"/>
  <sheetViews>
    <sheetView tabSelected="1"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5546875" style="1" bestFit="1" customWidth="1"/>
    <col min="14" max="14" width="6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8" t="s">
        <v>64</v>
      </c>
    </row>
    <row r="2" spans="1:19" ht="15.75">
      <c r="A2" s="88" t="s">
        <v>65</v>
      </c>
    </row>
    <row r="3" spans="1:19" ht="15.75">
      <c r="A3" s="88" t="s">
        <v>66</v>
      </c>
    </row>
    <row r="4" spans="1:19" ht="15.75">
      <c r="A4" s="88" t="s">
        <v>67</v>
      </c>
    </row>
    <row r="5" spans="1:19" ht="15.75">
      <c r="A5" s="88" t="s">
        <v>73</v>
      </c>
    </row>
    <row r="6" spans="1:19" ht="15.75">
      <c r="A6" s="88" t="s">
        <v>68</v>
      </c>
    </row>
    <row r="8" spans="1:19" ht="24.75" customHeight="1">
      <c r="A8" s="35" t="s">
        <v>26</v>
      </c>
    </row>
    <row r="9" spans="1:19" ht="15" customHeight="1">
      <c r="A9" s="34" t="s">
        <v>25</v>
      </c>
    </row>
    <row r="10" spans="1:19" ht="15" customHeight="1">
      <c r="A10" s="1"/>
      <c r="G10" s="33"/>
      <c r="N10" s="32"/>
    </row>
    <row r="11" spans="1:19" ht="15" customHeight="1">
      <c r="C11" s="31" t="s">
        <v>24</v>
      </c>
      <c r="D11" s="30">
        <f>1-0.209</f>
        <v>0.79100000000000004</v>
      </c>
      <c r="E11" s="31" t="s">
        <v>23</v>
      </c>
      <c r="F11" s="30">
        <f>1+0.209</f>
        <v>1.2090000000000001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9"/>
      <c r="L13" s="89" t="s">
        <v>22</v>
      </c>
      <c r="M13" s="89"/>
      <c r="N13" s="89"/>
      <c r="O13" s="89"/>
      <c r="P13" s="89"/>
      <c r="Q13" s="89"/>
      <c r="R13" s="89"/>
      <c r="S13" s="89"/>
    </row>
    <row r="14" spans="1:19" ht="15" customHeight="1">
      <c r="B14" s="10"/>
      <c r="C14" s="10"/>
      <c r="D14" s="10"/>
      <c r="E14" s="10"/>
      <c r="F14" s="10"/>
      <c r="G14" s="10"/>
      <c r="I14" s="10"/>
      <c r="K14" s="28"/>
      <c r="L14" s="89" t="s">
        <v>21</v>
      </c>
      <c r="M14" s="89"/>
      <c r="N14" s="89"/>
      <c r="O14" s="89"/>
      <c r="P14" s="89"/>
      <c r="Q14" s="89"/>
      <c r="R14" s="89"/>
      <c r="S14" s="89"/>
    </row>
    <row r="15" spans="1:19" s="22" customFormat="1" ht="112.5" customHeight="1">
      <c r="B15" s="25" t="s">
        <v>20</v>
      </c>
      <c r="C15" s="25" t="s">
        <v>19</v>
      </c>
      <c r="D15" s="25" t="s">
        <v>18</v>
      </c>
      <c r="E15" s="25" t="s">
        <v>17</v>
      </c>
      <c r="F15" s="24" t="s">
        <v>16</v>
      </c>
      <c r="G15" s="25" t="s">
        <v>15</v>
      </c>
      <c r="H15" s="24" t="s">
        <v>14</v>
      </c>
      <c r="I15" s="25" t="s">
        <v>13</v>
      </c>
      <c r="J15" s="24" t="s">
        <v>12</v>
      </c>
      <c r="K15" s="27" t="s">
        <v>11</v>
      </c>
      <c r="L15" s="23" t="s">
        <v>10</v>
      </c>
      <c r="M15" s="23" t="s">
        <v>9</v>
      </c>
      <c r="N15" s="23" t="s">
        <v>8</v>
      </c>
      <c r="O15" s="23" t="s">
        <v>7</v>
      </c>
      <c r="P15" s="23" t="s">
        <v>6</v>
      </c>
      <c r="Q15" s="23" t="s">
        <v>5</v>
      </c>
      <c r="R15" s="23" t="s">
        <v>4</v>
      </c>
      <c r="S15" s="26" t="s">
        <v>3</v>
      </c>
    </row>
    <row r="16" spans="1:19" s="22" customFormat="1" ht="15" customHeight="1">
      <c r="A16" s="24" t="s">
        <v>2</v>
      </c>
      <c r="B16" s="25" t="s">
        <v>1</v>
      </c>
      <c r="C16" s="25" t="s">
        <v>1</v>
      </c>
      <c r="D16" s="25" t="s">
        <v>1</v>
      </c>
      <c r="E16" s="25" t="s">
        <v>1</v>
      </c>
      <c r="F16" s="24" t="s">
        <v>1</v>
      </c>
      <c r="G16" s="25" t="s">
        <v>1</v>
      </c>
      <c r="H16" s="24" t="s">
        <v>1</v>
      </c>
      <c r="I16" s="25" t="s">
        <v>1</v>
      </c>
      <c r="J16" s="24" t="s">
        <v>1</v>
      </c>
      <c r="K16" s="24" t="s">
        <v>1</v>
      </c>
      <c r="L16" s="23" t="s">
        <v>0</v>
      </c>
      <c r="M16" s="23" t="s">
        <v>0</v>
      </c>
      <c r="N16" s="23" t="s">
        <v>0</v>
      </c>
      <c r="O16" s="23" t="s">
        <v>0</v>
      </c>
      <c r="P16" s="23" t="s">
        <v>0</v>
      </c>
      <c r="Q16" s="23" t="s">
        <v>0</v>
      </c>
      <c r="R16" s="23" t="s">
        <v>0</v>
      </c>
      <c r="S16" s="23" t="s">
        <v>0</v>
      </c>
    </row>
    <row r="17" spans="1:19" ht="15" customHeight="1">
      <c r="A17" s="13">
        <v>41640</v>
      </c>
      <c r="B17" s="8">
        <v>4.5403508981821297</v>
      </c>
      <c r="C17" s="8">
        <v>4.5453053729014501</v>
      </c>
      <c r="D17" s="8">
        <v>4.5474406031906298</v>
      </c>
      <c r="E17" s="12">
        <v>4.5470654716081098</v>
      </c>
      <c r="F17" s="4">
        <v>5.2054822160436602</v>
      </c>
      <c r="G17" s="8">
        <v>4.5299185954854799</v>
      </c>
      <c r="H17" s="4">
        <v>5.1810010193679901</v>
      </c>
      <c r="I17" s="8">
        <v>4.5333202317294603</v>
      </c>
      <c r="J17" s="4">
        <v>4.407</v>
      </c>
      <c r="K17" s="4">
        <v>4.4959996929375601</v>
      </c>
      <c r="L17" s="9">
        <v>29.253942540000001</v>
      </c>
      <c r="M17" s="9">
        <v>12.063650000000001</v>
      </c>
      <c r="N17" s="9">
        <v>4.9444999999999997</v>
      </c>
      <c r="O17" s="9">
        <v>0.71033400000000002</v>
      </c>
      <c r="P17" s="9">
        <v>0.77903628000000003</v>
      </c>
      <c r="Q17" s="9"/>
      <c r="R17" s="9">
        <v>0.4</v>
      </c>
      <c r="S17" s="21">
        <v>1.0435350000000001</v>
      </c>
    </row>
    <row r="18" spans="1:19" ht="15" customHeight="1">
      <c r="A18" s="13">
        <v>41671</v>
      </c>
      <c r="B18" s="8">
        <v>5.7253939823975104</v>
      </c>
      <c r="C18" s="8">
        <v>5.7303484571168299</v>
      </c>
      <c r="D18" s="8">
        <v>5.7503593719377601</v>
      </c>
      <c r="E18" s="12">
        <v>5.7440587165890404</v>
      </c>
      <c r="F18" s="4">
        <v>6.4008229009180804</v>
      </c>
      <c r="G18" s="8">
        <v>5.7195685555344298</v>
      </c>
      <c r="H18" s="4">
        <v>6.3642786331106604</v>
      </c>
      <c r="I18" s="8">
        <v>5.77879893816087</v>
      </c>
      <c r="J18" s="4">
        <v>5.55779533908155</v>
      </c>
      <c r="K18" s="4">
        <v>5.6800276756208303</v>
      </c>
      <c r="L18" s="9">
        <v>26.512149040000001</v>
      </c>
      <c r="M18" s="9">
        <v>10.8962</v>
      </c>
      <c r="N18" s="9">
        <v>4.4660000000000002</v>
      </c>
      <c r="O18" s="9">
        <v>0.64159200000000005</v>
      </c>
      <c r="P18" s="9">
        <v>0.77903628000000003</v>
      </c>
      <c r="Q18" s="9"/>
      <c r="R18" s="9">
        <v>0.4</v>
      </c>
      <c r="S18" s="21">
        <v>1.0435350000000001</v>
      </c>
    </row>
    <row r="19" spans="1:19" ht="15" customHeight="1">
      <c r="A19" s="13">
        <v>41699</v>
      </c>
      <c r="B19" s="8">
        <v>5.0025024161324501</v>
      </c>
      <c r="C19" s="8">
        <v>5.0074568908517696</v>
      </c>
      <c r="D19" s="8">
        <v>5.0614249041503099</v>
      </c>
      <c r="E19" s="12">
        <v>5.0429066154505398</v>
      </c>
      <c r="F19" s="4">
        <v>5.7088241366301604</v>
      </c>
      <c r="G19" s="8">
        <v>5.0372470232526201</v>
      </c>
      <c r="H19" s="4">
        <v>5.6792633425907804</v>
      </c>
      <c r="I19" s="8">
        <v>5.0444680614808997</v>
      </c>
      <c r="J19" s="4">
        <v>4.85579533908155</v>
      </c>
      <c r="K19" s="4">
        <v>4.9655957411274896</v>
      </c>
      <c r="L19" s="9">
        <v>29.394616540000001</v>
      </c>
      <c r="M19" s="9">
        <v>12.063650000000001</v>
      </c>
      <c r="N19" s="9">
        <v>4.9444999999999997</v>
      </c>
      <c r="O19" s="9">
        <v>0.71033400000000002</v>
      </c>
      <c r="P19" s="9">
        <v>0.77903628000000003</v>
      </c>
      <c r="Q19" s="9"/>
      <c r="R19" s="9">
        <v>0.4</v>
      </c>
      <c r="S19" s="21">
        <v>1.0435350000000001</v>
      </c>
    </row>
    <row r="20" spans="1:19" ht="15" customHeight="1">
      <c r="A20" s="13">
        <v>41730</v>
      </c>
      <c r="B20" s="8">
        <v>4.7242193852928898</v>
      </c>
      <c r="C20" s="8">
        <v>4.7285916418283396</v>
      </c>
      <c r="D20" s="8">
        <v>4.8068059613357903</v>
      </c>
      <c r="E20" s="12">
        <v>4.7822326339714403</v>
      </c>
      <c r="F20" s="4">
        <v>5.4863959623947602</v>
      </c>
      <c r="G20" s="8">
        <v>4.7603316510110698</v>
      </c>
      <c r="H20" s="4">
        <v>5.4590798563522398</v>
      </c>
      <c r="I20" s="8">
        <v>4.7562598941315004</v>
      </c>
      <c r="J20" s="4">
        <v>4.5847953390815501</v>
      </c>
      <c r="K20" s="4">
        <v>4.68923954870169</v>
      </c>
      <c r="L20" s="9">
        <v>30.193848039999999</v>
      </c>
      <c r="M20" s="9">
        <v>11.6745</v>
      </c>
      <c r="N20" s="9">
        <v>4.7850000000000001</v>
      </c>
      <c r="O20" s="9">
        <v>0.68742000000000003</v>
      </c>
      <c r="P20" s="9">
        <v>0.77903628000000003</v>
      </c>
      <c r="Q20" s="9"/>
      <c r="R20" s="9">
        <v>0.3</v>
      </c>
      <c r="S20" s="21">
        <v>1.0435350000000001</v>
      </c>
    </row>
    <row r="21" spans="1:19" ht="15" customHeight="1">
      <c r="A21" s="13">
        <v>41760</v>
      </c>
      <c r="B21" s="8">
        <v>4.9381176608916197</v>
      </c>
      <c r="C21" s="8">
        <v>4.9461153623711702</v>
      </c>
      <c r="D21" s="8">
        <v>5.0065241995266598</v>
      </c>
      <c r="E21" s="12">
        <v>4.99187975990304</v>
      </c>
      <c r="F21" s="4">
        <v>5.7148753737689901</v>
      </c>
      <c r="G21" s="8">
        <v>4.9585702312142796</v>
      </c>
      <c r="H21" s="4">
        <v>5.93206327334065</v>
      </c>
      <c r="I21" s="8">
        <v>4.9481720595449401</v>
      </c>
      <c r="J21" s="4">
        <v>4.7961753344205196</v>
      </c>
      <c r="K21" s="4">
        <v>4.8989427169094304</v>
      </c>
      <c r="L21" s="9">
        <v>32.596418040000003</v>
      </c>
      <c r="M21" s="9">
        <v>12.063650000000001</v>
      </c>
      <c r="N21" s="9">
        <v>4.9444999999999997</v>
      </c>
      <c r="O21" s="9">
        <v>0.71033400000000002</v>
      </c>
      <c r="P21" s="9">
        <v>0.80500415599999997</v>
      </c>
      <c r="Q21" s="9"/>
      <c r="R21" s="9">
        <v>0.3</v>
      </c>
      <c r="S21" s="21">
        <v>1.0435350000000001</v>
      </c>
    </row>
    <row r="22" spans="1:19" ht="15" customHeight="1">
      <c r="A22" s="13">
        <v>41791</v>
      </c>
      <c r="B22" s="8">
        <f>CHOOSE( CONTROL!$C$32, 4.7722, 4.7706) * CHOOSE(CONTROL!$C$15, $D$11, 100%, $F$11)</f>
        <v>4.7721999999999998</v>
      </c>
      <c r="C22" s="8">
        <f>CHOOSE( CONTROL!$C$32, 4.7802, 4.7785) * CHOOSE(CONTROL!$C$15, $D$11, 100%, $F$11)</f>
        <v>4.7801999999999998</v>
      </c>
      <c r="D22" s="8">
        <f>CHOOSE( CONTROL!$C$32, 4.8084, 4.8067) * CHOOSE( CONTROL!$C$15, $D$11, 100%, $F$11)</f>
        <v>4.8083999999999998</v>
      </c>
      <c r="E22" s="12">
        <f>CHOOSE( CONTROL!$C$32, 4.7974, 4.7957) * CHOOSE( CONTROL!$C$15, $D$11, 100%, $F$11)</f>
        <v>4.7973999999999997</v>
      </c>
      <c r="F22" s="4">
        <f>CHOOSE( CONTROL!$C$32, 5.5152, 5.5136) * CHOOSE(CONTROL!$C$15, $D$11, 100%, $F$11)</f>
        <v>5.5152000000000001</v>
      </c>
      <c r="G22" s="8">
        <f>CHOOSE( CONTROL!$C$32, 4.76, 4.7583) * CHOOSE( CONTROL!$C$15, $D$11, 100%, $F$11)</f>
        <v>4.76</v>
      </c>
      <c r="H22" s="4">
        <f>CHOOSE( CONTROL!$C$32, 5.6973, 5.6956) * CHOOSE(CONTROL!$C$15, $D$11, 100%, $F$11)</f>
        <v>5.6973000000000003</v>
      </c>
      <c r="I22" s="8">
        <f>CHOOSE( CONTROL!$C$32, 4.752, 4.7504) * CHOOSE(CONTROL!$C$15, $D$11, 100%, $F$11)</f>
        <v>4.7519999999999998</v>
      </c>
      <c r="J22" s="4">
        <f>CHOOSE( CONTROL!$C$32, 4.6206, 4.619) * CHOOSE(CONTROL!$C$15, $D$11, 100%, $F$11)</f>
        <v>4.6205999999999996</v>
      </c>
      <c r="K22" s="4">
        <f>CHOOSE( CONTROL!$C$32, 4.7131, 4.7115) * CHOOSE(CONTROL!$C$15, $D$11, 100%, $F$11)</f>
        <v>4.7130999999999998</v>
      </c>
      <c r="L22" s="9">
        <v>30.775700000000001</v>
      </c>
      <c r="M22" s="9">
        <v>11.6745</v>
      </c>
      <c r="N22" s="9">
        <v>4.3724999999999996</v>
      </c>
      <c r="O22" s="9">
        <v>0.59589999999999999</v>
      </c>
      <c r="P22" s="9">
        <v>0.78300000000000003</v>
      </c>
      <c r="Q22" s="9"/>
      <c r="R22" s="9">
        <v>0.3</v>
      </c>
      <c r="S22" s="20">
        <v>1.0573999999999999</v>
      </c>
    </row>
    <row r="23" spans="1:19" ht="15" customHeight="1">
      <c r="A23" s="13">
        <v>41821</v>
      </c>
      <c r="B23" s="8">
        <f>CHOOSE( CONTROL!$C$32, 4.5466, 4.5449) * CHOOSE(CONTROL!$C$15, $D$11, 100%, $F$11)</f>
        <v>4.5465999999999998</v>
      </c>
      <c r="C23" s="8">
        <f>CHOOSE( CONTROL!$C$32, 4.5545, 4.5529) * CHOOSE(CONTROL!$C$15, $D$11, 100%, $F$11)</f>
        <v>4.5545</v>
      </c>
      <c r="D23" s="8">
        <f>CHOOSE( CONTROL!$C$32, 4.5966, 4.5949) * CHOOSE( CONTROL!$C$15, $D$11, 100%, $F$11)</f>
        <v>4.5965999999999996</v>
      </c>
      <c r="E23" s="12">
        <f>CHOOSE( CONTROL!$C$32, 4.5808, 4.5791) * CHOOSE( CONTROL!$C$15, $D$11, 100%, $F$11)</f>
        <v>4.5808</v>
      </c>
      <c r="F23" s="4">
        <f>CHOOSE( CONTROL!$C$32, 5.3009, 5.2992) * CHOOSE(CONTROL!$C$15, $D$11, 100%, $F$11)</f>
        <v>5.3009000000000004</v>
      </c>
      <c r="G23" s="8">
        <f>CHOOSE( CONTROL!$C$32, 4.5509, 4.5492) * CHOOSE( CONTROL!$C$15, $D$11, 100%, $F$11)</f>
        <v>4.5509000000000004</v>
      </c>
      <c r="H23" s="4">
        <f>CHOOSE( CONTROL!$C$32, 5.4855, 5.4838) * CHOOSE(CONTROL!$C$15, $D$11, 100%, $F$11)</f>
        <v>5.4855</v>
      </c>
      <c r="I23" s="8">
        <f>CHOOSE( CONTROL!$C$32, 4.5446, 4.543) * CHOOSE(CONTROL!$C$15, $D$11, 100%, $F$11)</f>
        <v>4.5446</v>
      </c>
      <c r="J23" s="4">
        <f>CHOOSE( CONTROL!$C$32, 4.4016, 4.4) * CHOOSE(CONTROL!$C$15, $D$11, 100%, $F$11)</f>
        <v>4.4016000000000002</v>
      </c>
      <c r="K23" s="4">
        <f>CHOOSE( CONTROL!$C$32, 4.5094, 4.5078) * CHOOSE(CONTROL!$C$15, $D$11, 100%, $F$11)</f>
        <v>4.5094000000000003</v>
      </c>
      <c r="L23" s="9">
        <v>31.801500000000001</v>
      </c>
      <c r="M23" s="9">
        <v>12.063700000000001</v>
      </c>
      <c r="N23" s="9">
        <v>4.5183</v>
      </c>
      <c r="O23" s="9">
        <v>0.61570000000000003</v>
      </c>
      <c r="P23" s="9">
        <v>0.80910000000000004</v>
      </c>
      <c r="Q23" s="9"/>
      <c r="R23" s="9">
        <f t="shared" ref="R23:R56" si="0">(0.12*2500000)/1000000</f>
        <v>0.3</v>
      </c>
      <c r="S23" s="17">
        <v>1.0592999999999999</v>
      </c>
    </row>
    <row r="24" spans="1:19" ht="15" customHeight="1">
      <c r="A24" s="13">
        <v>41852</v>
      </c>
      <c r="B24" s="8">
        <f>CHOOSE( CONTROL!$C$32, 3.9366, 3.9349) * CHOOSE(CONTROL!$C$15, $D$11, 100%, $F$11)</f>
        <v>3.9365999999999999</v>
      </c>
      <c r="C24" s="8">
        <f>CHOOSE( CONTROL!$C$32, 3.9445, 3.9429) * CHOOSE(CONTROL!$C$15, $D$11, 100%, $F$11)</f>
        <v>3.9445000000000001</v>
      </c>
      <c r="D24" s="8">
        <f>CHOOSE( CONTROL!$C$32, 3.9519, 3.9503) * CHOOSE( CONTROL!$C$15, $D$11, 100%, $F$11)</f>
        <v>3.9519000000000002</v>
      </c>
      <c r="E24" s="12">
        <f>CHOOSE( CONTROL!$C$32, 3.9482, 3.9465) * CHOOSE( CONTROL!$C$15, $D$11, 100%, $F$11)</f>
        <v>3.9481999999999999</v>
      </c>
      <c r="F24" s="4">
        <f>CHOOSE( CONTROL!$C$32, 4.6177, 4.6161) * CHOOSE(CONTROL!$C$15, $D$11, 100%, $F$11)</f>
        <v>4.6177000000000001</v>
      </c>
      <c r="G24" s="8">
        <f>CHOOSE( CONTROL!$C$32, 3.9105, 3.9088) * CHOOSE( CONTROL!$C$15, $D$11, 100%, $F$11)</f>
        <v>3.9104999999999999</v>
      </c>
      <c r="H24" s="4">
        <f>CHOOSE( CONTROL!$C$32, 4.8103, 4.8087) * CHOOSE(CONTROL!$C$15, $D$11, 100%, $F$11)</f>
        <v>4.8102999999999998</v>
      </c>
      <c r="I24" s="8">
        <f>CHOOSE( CONTROL!$C$32, 3.9352, 3.9336) * CHOOSE(CONTROL!$C$15, $D$11, 100%, $F$11)</f>
        <v>3.9352</v>
      </c>
      <c r="J24" s="4">
        <f>CHOOSE( CONTROL!$C$32, 3.8096, 3.808) * CHOOSE(CONTROL!$C$15, $D$11, 100%, $F$11)</f>
        <v>3.8096000000000001</v>
      </c>
      <c r="K24" s="4">
        <f>CHOOSE( CONTROL!$C$32, 3.9009, 3.8993) * CHOOSE(CONTROL!$C$15, $D$11, 100%, $F$11)</f>
        <v>3.9009</v>
      </c>
      <c r="L24" s="9">
        <v>31.801500000000001</v>
      </c>
      <c r="M24" s="9">
        <v>12.063700000000001</v>
      </c>
      <c r="N24" s="9">
        <v>4.5183</v>
      </c>
      <c r="O24" s="9">
        <v>0.61570000000000003</v>
      </c>
      <c r="P24" s="9">
        <v>0.80910000000000004</v>
      </c>
      <c r="Q24" s="9"/>
      <c r="R24" s="9">
        <f t="shared" si="0"/>
        <v>0.3</v>
      </c>
      <c r="S24" s="17">
        <v>1.0592999999999999</v>
      </c>
    </row>
    <row r="25" spans="1:19" ht="15" customHeight="1">
      <c r="A25" s="13">
        <v>41883</v>
      </c>
      <c r="B25" s="8">
        <f>CHOOSE( CONTROL!$C$32, 4.0901, 4.0884) * CHOOSE(CONTROL!$C$15, $D$11, 100%, $F$11)</f>
        <v>4.0900999999999996</v>
      </c>
      <c r="C25" s="8">
        <f>CHOOSE( CONTROL!$C$32, 4.0981, 4.0964) * CHOOSE(CONTROL!$C$15, $D$11, 100%, $F$11)</f>
        <v>4.0980999999999996</v>
      </c>
      <c r="D25" s="8">
        <f>CHOOSE( CONTROL!$C$32, 4.1295, 4.1278) * CHOOSE( CONTROL!$C$15, $D$11, 100%, $F$11)</f>
        <v>4.1295000000000002</v>
      </c>
      <c r="E25" s="12">
        <f>CHOOSE( CONTROL!$C$32, 4.1174, 4.1157) * CHOOSE( CONTROL!$C$15, $D$11, 100%, $F$11)</f>
        <v>4.1173999999999999</v>
      </c>
      <c r="F25" s="4">
        <f>CHOOSE( CONTROL!$C$32, 4.8022, 4.8005) * CHOOSE(CONTROL!$C$15, $D$11, 100%, $F$11)</f>
        <v>4.8022</v>
      </c>
      <c r="G25" s="8">
        <f>CHOOSE( CONTROL!$C$32, 4.085, 4.0834) * CHOOSE( CONTROL!$C$15, $D$11, 100%, $F$11)</f>
        <v>4.085</v>
      </c>
      <c r="H25" s="4">
        <f>CHOOSE( CONTROL!$C$32, 4.9926, 4.9909) * CHOOSE(CONTROL!$C$15, $D$11, 100%, $F$11)</f>
        <v>4.9926000000000004</v>
      </c>
      <c r="I25" s="8">
        <f>CHOOSE( CONTROL!$C$32, 4.0912, 4.0896) * CHOOSE(CONTROL!$C$15, $D$11, 100%, $F$11)</f>
        <v>4.0911999999999997</v>
      </c>
      <c r="J25" s="4">
        <f>CHOOSE( CONTROL!$C$32, 3.9586, 3.957) * CHOOSE(CONTROL!$C$15, $D$11, 100%, $F$11)</f>
        <v>3.9586000000000001</v>
      </c>
      <c r="K25" s="4">
        <f>CHOOSE( CONTROL!$C$32, 4.0596, 4.0579) * CHOOSE(CONTROL!$C$15, $D$11, 100%, $F$11)</f>
        <v>4.0595999999999997</v>
      </c>
      <c r="L25" s="9">
        <v>30.775700000000001</v>
      </c>
      <c r="M25" s="9">
        <v>11.6745</v>
      </c>
      <c r="N25" s="9">
        <v>4.3724999999999996</v>
      </c>
      <c r="O25" s="9">
        <v>0.59589999999999999</v>
      </c>
      <c r="P25" s="9">
        <v>0.78300000000000003</v>
      </c>
      <c r="Q25" s="9"/>
      <c r="R25" s="9">
        <f t="shared" si="0"/>
        <v>0.3</v>
      </c>
      <c r="S25" s="17">
        <v>1.0592999999999999</v>
      </c>
    </row>
    <row r="26" spans="1:19" ht="15" customHeight="1">
      <c r="A26" s="13">
        <v>41913</v>
      </c>
      <c r="B26" s="8">
        <f>CHOOSE( CONTROL!$C$32, 4.1156, 4.1145) * CHOOSE(CONTROL!$C$15, $D$11, 100%, $F$11)</f>
        <v>4.1155999999999997</v>
      </c>
      <c r="C26" s="8">
        <f>CHOOSE( CONTROL!$C$32, 4.1209, 4.1199) * CHOOSE(CONTROL!$C$15, $D$11, 100%, $F$11)</f>
        <v>4.1208999999999998</v>
      </c>
      <c r="D26" s="8">
        <f>CHOOSE( CONTROL!$C$32, 4.1346, 4.1335) * CHOOSE( CONTROL!$C$15, $D$11, 100%, $F$11)</f>
        <v>4.1345999999999998</v>
      </c>
      <c r="E26" s="12">
        <f>CHOOSE( CONTROL!$C$32, 4.1295, 4.1284) * CHOOSE( CONTROL!$C$15, $D$11, 100%, $F$11)</f>
        <v>4.1295000000000002</v>
      </c>
      <c r="F26" s="4">
        <f>CHOOSE( CONTROL!$C$32, 4.7728, 4.7717) * CHOOSE(CONTROL!$C$15, $D$11, 100%, $F$11)</f>
        <v>4.7728000000000002</v>
      </c>
      <c r="G26" s="8">
        <f>CHOOSE( CONTROL!$C$32, 4.0887, 4.0876) * CHOOSE( CONTROL!$C$15, $D$11, 100%, $F$11)</f>
        <v>4.0887000000000002</v>
      </c>
      <c r="H26" s="4">
        <f>CHOOSE( CONTROL!$C$32, 4.9635, 4.9624) * CHOOSE(CONTROL!$C$15, $D$11, 100%, $F$11)</f>
        <v>4.9634999999999998</v>
      </c>
      <c r="I26" s="8">
        <f>CHOOSE( CONTROL!$C$32, 4.1081, 4.1071) * CHOOSE(CONTROL!$C$15, $D$11, 100%, $F$11)</f>
        <v>4.1081000000000003</v>
      </c>
      <c r="J26" s="4">
        <f>CHOOSE( CONTROL!$C$32, 3.9851, 3.984) * CHOOSE(CONTROL!$C$15, $D$11, 100%, $F$11)</f>
        <v>3.9851000000000001</v>
      </c>
      <c r="K26" s="4">
        <f>CHOOSE( CONTROL!$C$32, 4.0805, 4.0794) * CHOOSE(CONTROL!$C$15, $D$11, 100%, $F$11)</f>
        <v>4.0804999999999998</v>
      </c>
      <c r="L26" s="9">
        <v>30.661300000000001</v>
      </c>
      <c r="M26" s="9">
        <v>12.063700000000001</v>
      </c>
      <c r="N26" s="9">
        <v>4.9444999999999997</v>
      </c>
      <c r="O26" s="9">
        <v>0.61570000000000003</v>
      </c>
      <c r="P26" s="9">
        <v>0.80910000000000004</v>
      </c>
      <c r="Q26" s="9"/>
      <c r="R26" s="9">
        <f t="shared" si="0"/>
        <v>0.3</v>
      </c>
      <c r="S26" s="17">
        <v>1.0592999999999999</v>
      </c>
    </row>
    <row r="27" spans="1:19" ht="15" customHeight="1">
      <c r="A27" s="13">
        <v>41944</v>
      </c>
      <c r="B27" s="8">
        <f>CHOOSE( CONTROL!$C$32, 3.8514, 3.8503) * CHOOSE(CONTROL!$C$15, $D$11, 100%, $F$11)</f>
        <v>3.8513999999999999</v>
      </c>
      <c r="C27" s="8">
        <f>CHOOSE( CONTROL!$C$32, 3.8565, 3.8554) * CHOOSE(CONTROL!$C$15, $D$11, 100%, $F$11)</f>
        <v>3.8565</v>
      </c>
      <c r="D27" s="8">
        <f>CHOOSE( CONTROL!$C$32, 3.8365, 3.8355) * CHOOSE( CONTROL!$C$15, $D$11, 100%, $F$11)</f>
        <v>3.8365</v>
      </c>
      <c r="E27" s="12">
        <f>CHOOSE( CONTROL!$C$32, 3.8433, 3.8422) * CHOOSE( CONTROL!$C$15, $D$11, 100%, $F$11)</f>
        <v>3.8433000000000002</v>
      </c>
      <c r="F27" s="4">
        <f>CHOOSE( CONTROL!$C$32, 4.4796, 4.4785) * CHOOSE(CONTROL!$C$15, $D$11, 100%, $F$11)</f>
        <v>4.4795999999999996</v>
      </c>
      <c r="G27" s="8">
        <f>CHOOSE( CONTROL!$C$32, 3.8013, 3.8002) * CHOOSE( CONTROL!$C$15, $D$11, 100%, $F$11)</f>
        <v>3.8012999999999999</v>
      </c>
      <c r="H27" s="19">
        <f>CHOOSE( CONTROL!$C$32, 4.6738, 4.6727) * CHOOSE(CONTROL!$C$15, $D$11, 100%, $F$11)</f>
        <v>4.6738</v>
      </c>
      <c r="I27" s="8">
        <f>CHOOSE( CONTROL!$C$32, 3.8302, 3.8292) * CHOOSE(CONTROL!$C$15, $D$11, 100%, $F$11)</f>
        <v>3.8302</v>
      </c>
      <c r="J27" s="4">
        <f>CHOOSE( CONTROL!$C$32, 3.7291, 3.728) * CHOOSE(CONTROL!$C$15, $D$11, 100%, $F$11)</f>
        <v>3.7290999999999999</v>
      </c>
      <c r="K27" s="4">
        <f>CHOOSE( CONTROL!$C$32, 3.8067, 3.8056) * CHOOSE(CONTROL!$C$15, $D$11, 100%, $F$11)</f>
        <v>3.8067000000000002</v>
      </c>
      <c r="L27" s="9">
        <v>27.9406</v>
      </c>
      <c r="M27" s="9">
        <v>11.6745</v>
      </c>
      <c r="N27" s="9">
        <v>4.7850000000000001</v>
      </c>
      <c r="O27" s="9">
        <v>0.59589999999999999</v>
      </c>
      <c r="P27" s="9">
        <v>0</v>
      </c>
      <c r="Q27" s="9"/>
      <c r="R27" s="9">
        <f t="shared" si="0"/>
        <v>0.3</v>
      </c>
      <c r="S27" s="17">
        <v>1.0592999999999999</v>
      </c>
    </row>
    <row r="28" spans="1:19" ht="15" customHeight="1">
      <c r="A28" s="13">
        <v>41974</v>
      </c>
      <c r="B28" s="8">
        <f>CHOOSE( CONTROL!$C$32, 4.1791, 4.178) * CHOOSE(CONTROL!$C$15, $D$11, 100%, $F$11)</f>
        <v>4.1791</v>
      </c>
      <c r="C28" s="8">
        <f>CHOOSE( CONTROL!$C$32, 4.1842, 4.1831) * CHOOSE(CONTROL!$C$15, $D$11, 100%, $F$11)</f>
        <v>4.1841999999999997</v>
      </c>
      <c r="D28" s="8">
        <f>CHOOSE( CONTROL!$C$32, 4.1671, 4.166) * CHOOSE( CONTROL!$C$15, $D$11, 100%, $F$11)</f>
        <v>4.1670999999999996</v>
      </c>
      <c r="E28" s="12">
        <f>CHOOSE( CONTROL!$C$32, 4.1728, 4.1717) * CHOOSE( CONTROL!$C$15, $D$11, 100%, $F$11)</f>
        <v>4.1727999999999996</v>
      </c>
      <c r="F28" s="4">
        <f>CHOOSE( CONTROL!$C$32, 4.8263, 4.8253) * CHOOSE(CONTROL!$C$15, $D$11, 100%, $F$11)</f>
        <v>4.8262999999999998</v>
      </c>
      <c r="G28" s="8">
        <f>CHOOSE( CONTROL!$C$32, 4.1283, 4.1272) * CHOOSE( CONTROL!$C$15, $D$11, 100%, $F$11)</f>
        <v>4.1283000000000003</v>
      </c>
      <c r="H28" s="4">
        <f>CHOOSE( CONTROL!$C$32, 5.0165, 5.0154) * CHOOSE(CONTROL!$C$15, $D$11, 100%, $F$11)</f>
        <v>5.0164999999999997</v>
      </c>
      <c r="I28" s="8">
        <f>CHOOSE( CONTROL!$C$32, 4.1771, 4.176) * CHOOSE(CONTROL!$C$15, $D$11, 100%, $F$11)</f>
        <v>4.1771000000000003</v>
      </c>
      <c r="J28" s="18">
        <f>CHOOSE( CONTROL!$C$32, 4.0471, 4.046) * CHOOSE(CONTROL!$C$15, $D$11, 100%, $F$11)</f>
        <v>4.0471000000000004</v>
      </c>
      <c r="K28" s="4">
        <f>CHOOSE( CONTROL!$C$32, 4.144, 4.1429) * CHOOSE(CONTROL!$C$15, $D$11, 100%, $F$11)</f>
        <v>4.1440000000000001</v>
      </c>
      <c r="L28" s="9">
        <v>28.872</v>
      </c>
      <c r="M28" s="9">
        <v>12.063700000000001</v>
      </c>
      <c r="N28" s="9">
        <v>4.9444999999999997</v>
      </c>
      <c r="O28" s="9">
        <v>0.61570000000000003</v>
      </c>
      <c r="P28" s="9">
        <v>0</v>
      </c>
      <c r="Q28" s="9"/>
      <c r="R28" s="9">
        <f t="shared" si="0"/>
        <v>0.3</v>
      </c>
      <c r="S28" s="17">
        <v>1.0592999999999999</v>
      </c>
    </row>
    <row r="29" spans="1:19" ht="15" customHeight="1">
      <c r="A29" s="13">
        <v>42005</v>
      </c>
      <c r="B29" s="8">
        <f>CHOOSE( CONTROL!$C$32, 4.2811, 4.28) * CHOOSE(CONTROL!$C$15, $D$11, 100%, $F$11)</f>
        <v>4.2811000000000003</v>
      </c>
      <c r="C29" s="8">
        <f>CHOOSE( CONTROL!$C$32, 4.2862, 4.2851) * CHOOSE(CONTROL!$C$15, $D$11, 100%, $F$11)</f>
        <v>4.2862</v>
      </c>
      <c r="D29" s="8">
        <f>CHOOSE( CONTROL!$C$32, 4.2738, 4.2727) * CHOOSE( CONTROL!$C$15, $D$11, 100%, $F$11)</f>
        <v>4.2737999999999996</v>
      </c>
      <c r="E29" s="12">
        <f>CHOOSE( CONTROL!$C$32, 4.2778, 4.2767) * CHOOSE( CONTROL!$C$15, $D$11, 100%, $F$11)</f>
        <v>4.2778</v>
      </c>
      <c r="F29" s="4">
        <f>CHOOSE( CONTROL!$C$32, 4.9325, 4.9314) * CHOOSE(CONTROL!$C$15, $D$11, 100%, $F$11)</f>
        <v>4.9325000000000001</v>
      </c>
      <c r="G29" s="8">
        <f>CHOOSE( CONTROL!$C$32, 4.2339, 4.2328) * CHOOSE( CONTROL!$C$15, $D$11, 100%, $F$11)</f>
        <v>4.2339000000000002</v>
      </c>
      <c r="H29" s="4">
        <f>CHOOSE( CONTROL!$C$32, 5.1213, 5.1203) * CHOOSE(CONTROL!$C$15, $D$11, 100%, $F$11)</f>
        <v>5.1212999999999997</v>
      </c>
      <c r="I29" s="8">
        <f>CHOOSE( CONTROL!$C$32, 4.2955, 4.2944) * CHOOSE(CONTROL!$C$15, $D$11, 100%, $F$11)</f>
        <v>4.2954999999999997</v>
      </c>
      <c r="J29" s="4">
        <f>CHOOSE( CONTROL!$C$32, 4.1461, 4.145) * CHOOSE(CONTROL!$C$15, $D$11, 100%, $F$11)</f>
        <v>4.1460999999999997</v>
      </c>
      <c r="K29" s="4">
        <f>CHOOSE( CONTROL!$C$32, 4.2507, 4.2497) * CHOOSE(CONTROL!$C$15, $D$11, 100%, $F$11)</f>
        <v>4.2507000000000001</v>
      </c>
      <c r="L29" s="9">
        <v>28.872</v>
      </c>
      <c r="M29" s="9">
        <v>12.063700000000001</v>
      </c>
      <c r="N29" s="9">
        <v>4.9444999999999997</v>
      </c>
      <c r="O29" s="9">
        <v>0.61570000000000003</v>
      </c>
      <c r="P29" s="9">
        <v>0</v>
      </c>
      <c r="Q29" s="9"/>
      <c r="R29" s="9">
        <f t="shared" si="0"/>
        <v>0.3</v>
      </c>
      <c r="S29" s="17">
        <v>1.0592999999999999</v>
      </c>
    </row>
    <row r="30" spans="1:19" ht="15" customHeight="1">
      <c r="A30" s="13">
        <v>42036</v>
      </c>
      <c r="B30" s="8">
        <f>CHOOSE( CONTROL!$C$32, 4.2667, 4.2656) * CHOOSE(CONTROL!$C$15, $D$11, 100%, $F$11)</f>
        <v>4.2667000000000002</v>
      </c>
      <c r="C30" s="8">
        <f>CHOOSE( CONTROL!$C$32, 4.2717, 4.2707) * CHOOSE(CONTROL!$C$15, $D$11, 100%, $F$11)</f>
        <v>4.2717000000000001</v>
      </c>
      <c r="D30" s="8">
        <f>CHOOSE( CONTROL!$C$32, 4.2593, 4.2582) * CHOOSE( CONTROL!$C$15, $D$11, 100%, $F$11)</f>
        <v>4.2592999999999996</v>
      </c>
      <c r="E30" s="12">
        <f>CHOOSE( CONTROL!$C$32, 4.2633, 4.2622) * CHOOSE( CONTROL!$C$15, $D$11, 100%, $F$11)</f>
        <v>4.2633000000000001</v>
      </c>
      <c r="F30" s="4">
        <f>CHOOSE( CONTROL!$C$32, 4.918, 4.917) * CHOOSE(CONTROL!$C$15, $D$11, 100%, $F$11)</f>
        <v>4.9180000000000001</v>
      </c>
      <c r="G30" s="8">
        <f>CHOOSE( CONTROL!$C$32, 4.2195, 4.2184) * CHOOSE( CONTROL!$C$15, $D$11, 100%, $F$11)</f>
        <v>4.2195</v>
      </c>
      <c r="H30" s="4">
        <f>CHOOSE( CONTROL!$C$32, 5.1071, 5.106) * CHOOSE(CONTROL!$C$15, $D$11, 100%, $F$11)</f>
        <v>5.1071</v>
      </c>
      <c r="I30" s="8">
        <f>CHOOSE( CONTROL!$C$32, 4.281, 4.28) * CHOOSE(CONTROL!$C$15, $D$11, 100%, $F$11)</f>
        <v>4.2809999999999997</v>
      </c>
      <c r="J30" s="4">
        <f>CHOOSE( CONTROL!$C$32, 4.1321, 4.131) * CHOOSE(CONTROL!$C$15, $D$11, 100%, $F$11)</f>
        <v>4.1321000000000003</v>
      </c>
      <c r="K30" s="4">
        <f>CHOOSE( CONTROL!$C$32, 4.2364, 4.2353) * CHOOSE(CONTROL!$C$15, $D$11, 100%, $F$11)</f>
        <v>4.2363999999999997</v>
      </c>
      <c r="L30" s="9">
        <v>26.0779</v>
      </c>
      <c r="M30" s="9">
        <v>10.8962</v>
      </c>
      <c r="N30" s="9">
        <v>4.4660000000000002</v>
      </c>
      <c r="O30" s="9">
        <v>0.55610000000000004</v>
      </c>
      <c r="P30" s="9">
        <v>0</v>
      </c>
      <c r="Q30" s="9"/>
      <c r="R30" s="9">
        <f t="shared" si="0"/>
        <v>0.3</v>
      </c>
      <c r="S30" s="17">
        <v>1.0592999999999999</v>
      </c>
    </row>
    <row r="31" spans="1:19" ht="15" customHeight="1">
      <c r="A31" s="13">
        <v>42064</v>
      </c>
      <c r="B31" s="8">
        <f>CHOOSE( CONTROL!$C$32, 4.1956, 4.1945) * CHOOSE(CONTROL!$C$15, $D$11, 100%, $F$11)</f>
        <v>4.1955999999999998</v>
      </c>
      <c r="C31" s="8">
        <f>CHOOSE( CONTROL!$C$32, 4.2006, 4.1996) * CHOOSE(CONTROL!$C$15, $D$11, 100%, $F$11)</f>
        <v>4.2005999999999997</v>
      </c>
      <c r="D31" s="8">
        <f>CHOOSE( CONTROL!$C$32, 4.1878, 4.1867) * CHOOSE( CONTROL!$C$15, $D$11, 100%, $F$11)</f>
        <v>4.1878000000000002</v>
      </c>
      <c r="E31" s="12">
        <f>CHOOSE( CONTROL!$C$32, 4.1919, 4.1909) * CHOOSE( CONTROL!$C$15, $D$11, 100%, $F$11)</f>
        <v>4.1919000000000004</v>
      </c>
      <c r="F31" s="4">
        <f>CHOOSE( CONTROL!$C$32, 4.8469, 4.8459) * CHOOSE(CONTROL!$C$15, $D$11, 100%, $F$11)</f>
        <v>4.8468999999999998</v>
      </c>
      <c r="G31" s="8">
        <f>CHOOSE( CONTROL!$C$32, 4.1489, 4.1478) * CHOOSE( CONTROL!$C$15, $D$11, 100%, $F$11)</f>
        <v>4.1489000000000003</v>
      </c>
      <c r="H31" s="4">
        <f>CHOOSE( CONTROL!$C$32, 5.0368, 5.0358) * CHOOSE(CONTROL!$C$15, $D$11, 100%, $F$11)</f>
        <v>5.0368000000000004</v>
      </c>
      <c r="I31" s="8">
        <f>CHOOSE( CONTROL!$C$32, 4.21, 4.209) * CHOOSE(CONTROL!$C$15, $D$11, 100%, $F$11)</f>
        <v>4.21</v>
      </c>
      <c r="J31" s="4">
        <f>CHOOSE( CONTROL!$C$32, 4.0631, 4.062) * CHOOSE(CONTROL!$C$15, $D$11, 100%, $F$11)</f>
        <v>4.0631000000000004</v>
      </c>
      <c r="K31" s="4">
        <f>CHOOSE( CONTROL!$C$32, 4.1658, 4.1647) * CHOOSE(CONTROL!$C$15, $D$11, 100%, $F$11)</f>
        <v>4.1657999999999999</v>
      </c>
      <c r="L31" s="9">
        <v>28.872</v>
      </c>
      <c r="M31" s="9">
        <v>12.063700000000001</v>
      </c>
      <c r="N31" s="9">
        <v>4.9444999999999997</v>
      </c>
      <c r="O31" s="9">
        <v>0.61570000000000003</v>
      </c>
      <c r="P31" s="9">
        <v>0</v>
      </c>
      <c r="Q31" s="9"/>
      <c r="R31" s="9">
        <f t="shared" si="0"/>
        <v>0.3</v>
      </c>
      <c r="S31" s="17">
        <v>1.0592999999999999</v>
      </c>
    </row>
    <row r="32" spans="1:19" ht="15" customHeight="1">
      <c r="A32" s="13">
        <v>42095</v>
      </c>
      <c r="B32" s="8">
        <f>CHOOSE( CONTROL!$C$32, 3.8852, 3.8841) * CHOOSE(CONTROL!$C$15, $D$11, 100%, $F$11)</f>
        <v>3.8852000000000002</v>
      </c>
      <c r="C32" s="8">
        <f>CHOOSE( CONTROL!$C$32, 3.8897, 3.8886) * CHOOSE(CONTROL!$C$15, $D$11, 100%, $F$11)</f>
        <v>3.8896999999999999</v>
      </c>
      <c r="D32" s="8">
        <f>CHOOSE( CONTROL!$C$32, 3.8752, 3.8741) * CHOOSE( CONTROL!$C$15, $D$11, 100%, $F$11)</f>
        <v>3.8752</v>
      </c>
      <c r="E32" s="12">
        <f>CHOOSE( CONTROL!$C$32, 3.8795, 3.8784) * CHOOSE( CONTROL!$C$15, $D$11, 100%, $F$11)</f>
        <v>3.8795000000000002</v>
      </c>
      <c r="F32" s="4">
        <f>CHOOSE( CONTROL!$C$32, 4.5935, 4.5924) * CHOOSE(CONTROL!$C$15, $D$11, 100%, $F$11)</f>
        <v>4.5934999999999997</v>
      </c>
      <c r="G32" s="8">
        <f>CHOOSE( CONTROL!$C$32, 3.8316, 3.8305) * CHOOSE( CONTROL!$C$15, $D$11, 100%, $F$11)</f>
        <v>3.8315999999999999</v>
      </c>
      <c r="H32" s="4">
        <f>CHOOSE( CONTROL!$C$32, 4.7863, 4.7852) * CHOOSE(CONTROL!$C$15, $D$11, 100%, $F$11)</f>
        <v>4.7862999999999998</v>
      </c>
      <c r="I32" s="8">
        <f>CHOOSE( CONTROL!$C$32, 3.8801, 3.8791) * CHOOSE(CONTROL!$C$15, $D$11, 100%, $F$11)</f>
        <v>3.8801000000000001</v>
      </c>
      <c r="J32" s="4">
        <f>CHOOSE( CONTROL!$C$32, 3.7611, 3.76) * CHOOSE(CONTROL!$C$15, $D$11, 100%, $F$11)</f>
        <v>3.7610999999999999</v>
      </c>
      <c r="K32" s="4">
        <f>CHOOSE( CONTROL!$C$32, 3.8348, 3.8338) * CHOOSE(CONTROL!$C$15, $D$11, 100%, $F$11)</f>
        <v>3.8348</v>
      </c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0"/>
        <v>0.3</v>
      </c>
      <c r="S32" s="17">
        <v>1.0592999999999999</v>
      </c>
    </row>
    <row r="33" spans="1:19" ht="15" customHeight="1">
      <c r="A33" s="13">
        <v>42125</v>
      </c>
      <c r="B33" s="8">
        <f>CHOOSE( CONTROL!$C$32, 3.8613, 3.8597) * CHOOSE(CONTROL!$C$15, $D$11, 100%, $F$11)</f>
        <v>3.8613</v>
      </c>
      <c r="C33" s="8">
        <f>CHOOSE( CONTROL!$C$32, 3.8693, 3.8677) * CHOOSE(CONTROL!$C$15, $D$11, 100%, $F$11)</f>
        <v>3.8693</v>
      </c>
      <c r="D33" s="8">
        <f>CHOOSE( CONTROL!$C$32, 3.8451, 3.8434) * CHOOSE( CONTROL!$C$15, $D$11, 100%, $F$11)</f>
        <v>3.8451</v>
      </c>
      <c r="E33" s="12">
        <f>CHOOSE( CONTROL!$C$32, 3.8524, 3.8507) * CHOOSE( CONTROL!$C$15, $D$11, 100%, $F$11)</f>
        <v>3.8523999999999998</v>
      </c>
      <c r="F33" s="4">
        <f>CHOOSE( CONTROL!$C$32, 4.5683, 4.5666) * CHOOSE(CONTROL!$C$15, $D$11, 100%, $F$11)</f>
        <v>4.5682999999999998</v>
      </c>
      <c r="G33" s="8">
        <f>CHOOSE( CONTROL!$C$32, 3.8184, 3.8168) * CHOOSE( CONTROL!$C$15, $D$11, 100%, $F$11)</f>
        <v>3.8184</v>
      </c>
      <c r="H33" s="4">
        <f>CHOOSE( CONTROL!$C$32, 4.7614, 4.7598) * CHOOSE(CONTROL!$C$15, $D$11, 100%, $F$11)</f>
        <v>4.7614000000000001</v>
      </c>
      <c r="I33" s="8">
        <f>CHOOSE( CONTROL!$C$32, 3.855, 3.8533) * CHOOSE(CONTROL!$C$15, $D$11, 100%, $F$11)</f>
        <v>3.855</v>
      </c>
      <c r="J33" s="4">
        <f>CHOOSE( CONTROL!$C$32, 3.7366, 3.735) * CHOOSE(CONTROL!$C$15, $D$11, 100%, $F$11)</f>
        <v>3.7366000000000001</v>
      </c>
      <c r="K33" s="4">
        <f>CHOOSE( CONTROL!$C$32, 3.8098, 3.8082) * CHOOSE(CONTROL!$C$15, $D$11, 100%, $F$11)</f>
        <v>3.8098000000000001</v>
      </c>
      <c r="L33" s="9">
        <v>32.235500000000002</v>
      </c>
      <c r="M33" s="9">
        <v>12.063700000000001</v>
      </c>
      <c r="N33" s="9">
        <v>4.5183</v>
      </c>
      <c r="O33" s="9">
        <v>0.61570000000000003</v>
      </c>
      <c r="P33" s="9">
        <v>2.1017999999999999</v>
      </c>
      <c r="Q33" s="9"/>
      <c r="R33" s="9">
        <f t="shared" si="0"/>
        <v>0.3</v>
      </c>
      <c r="S33" s="17">
        <v>1.0592999999999999</v>
      </c>
    </row>
    <row r="34" spans="1:19" ht="15" customHeight="1">
      <c r="A34" s="13">
        <v>42156</v>
      </c>
      <c r="B34" s="8">
        <f>CHOOSE( CONTROL!$C$32, 3.8892, 3.8875) * CHOOSE(CONTROL!$C$15, $D$11, 100%, $F$11)</f>
        <v>3.8892000000000002</v>
      </c>
      <c r="C34" s="8">
        <f>CHOOSE( CONTROL!$C$32, 3.8971, 3.8955) * CHOOSE(CONTROL!$C$15, $D$11, 100%, $F$11)</f>
        <v>3.8971</v>
      </c>
      <c r="D34" s="8">
        <f>CHOOSE( CONTROL!$C$32, 3.8732, 3.8715) * CHOOSE( CONTROL!$C$15, $D$11, 100%, $F$11)</f>
        <v>3.8732000000000002</v>
      </c>
      <c r="E34" s="12">
        <f>CHOOSE( CONTROL!$C$32, 3.8804, 3.8787) * CHOOSE( CONTROL!$C$15, $D$11, 100%, $F$11)</f>
        <v>3.8803999999999998</v>
      </c>
      <c r="F34" s="4">
        <f>CHOOSE( CONTROL!$C$32, 4.5961, 4.5944) * CHOOSE(CONTROL!$C$15, $D$11, 100%, $F$11)</f>
        <v>4.5960999999999999</v>
      </c>
      <c r="G34" s="8">
        <f>CHOOSE( CONTROL!$C$32, 3.8461, 3.8445) * CHOOSE( CONTROL!$C$15, $D$11, 100%, $F$11)</f>
        <v>3.8460999999999999</v>
      </c>
      <c r="H34" s="4">
        <f>CHOOSE( CONTROL!$C$32, 4.7889, 4.7873) * CHOOSE(CONTROL!$C$15, $D$11, 100%, $F$11)</f>
        <v>4.7888999999999999</v>
      </c>
      <c r="I34" s="8">
        <f>CHOOSE( CONTROL!$C$32, 3.8827, 3.8811) * CHOOSE(CONTROL!$C$15, $D$11, 100%, $F$11)</f>
        <v>3.8826999999999998</v>
      </c>
      <c r="J34" s="4">
        <f>CHOOSE( CONTROL!$C$32, 3.7636, 3.762) * CHOOSE(CONTROL!$C$15, $D$11, 100%, $F$11)</f>
        <v>3.7635999999999998</v>
      </c>
      <c r="K34" s="4">
        <f>CHOOSE( CONTROL!$C$32, 3.8375, 3.8358) * CHOOSE(CONTROL!$C$15, $D$11, 100%, $F$11)</f>
        <v>3.8374999999999999</v>
      </c>
      <c r="L34" s="9">
        <v>31.195699999999999</v>
      </c>
      <c r="M34" s="9">
        <v>11.6745</v>
      </c>
      <c r="N34" s="9">
        <v>4.3724999999999996</v>
      </c>
      <c r="O34" s="9">
        <v>0.59589999999999999</v>
      </c>
      <c r="P34" s="9">
        <v>2.0339999999999998</v>
      </c>
      <c r="Q34" s="9"/>
      <c r="R34" s="9">
        <f t="shared" si="0"/>
        <v>0.3</v>
      </c>
      <c r="S34" s="16">
        <v>1.0722</v>
      </c>
    </row>
    <row r="35" spans="1:19" ht="15" customHeight="1">
      <c r="A35" s="13">
        <v>42186</v>
      </c>
      <c r="B35" s="8">
        <f>CHOOSE( CONTROL!$C$32, 3.919, 3.9174) * CHOOSE(CONTROL!$C$15, $D$11, 100%, $F$11)</f>
        <v>3.919</v>
      </c>
      <c r="C35" s="8">
        <f>CHOOSE( CONTROL!$C$32, 3.927, 3.9254) * CHOOSE(CONTROL!$C$15, $D$11, 100%, $F$11)</f>
        <v>3.927</v>
      </c>
      <c r="D35" s="8">
        <f>CHOOSE( CONTROL!$C$32, 3.9033, 3.9017) * CHOOSE( CONTROL!$C$15, $D$11, 100%, $F$11)</f>
        <v>3.9033000000000002</v>
      </c>
      <c r="E35" s="12">
        <f>CHOOSE( CONTROL!$C$32, 3.9104, 3.9088) * CHOOSE( CONTROL!$C$15, $D$11, 100%, $F$11)</f>
        <v>3.9104000000000001</v>
      </c>
      <c r="F35" s="4">
        <f>CHOOSE( CONTROL!$C$32, 4.626, 4.6243) * CHOOSE(CONTROL!$C$15, $D$11, 100%, $F$11)</f>
        <v>4.6260000000000003</v>
      </c>
      <c r="G35" s="8">
        <f>CHOOSE( CONTROL!$C$32, 3.8759, 3.8742) * CHOOSE( CONTROL!$C$15, $D$11, 100%, $F$11)</f>
        <v>3.8759000000000001</v>
      </c>
      <c r="H35" s="4">
        <f>CHOOSE( CONTROL!$C$32, 4.8185, 4.8168) * CHOOSE(CONTROL!$C$15, $D$11, 100%, $F$11)</f>
        <v>4.8185000000000002</v>
      </c>
      <c r="I35" s="8">
        <f>CHOOSE( CONTROL!$C$32, 3.9126, 3.911) * CHOOSE(CONTROL!$C$15, $D$11, 100%, $F$11)</f>
        <v>3.9125999999999999</v>
      </c>
      <c r="J35" s="4">
        <f>CHOOSE( CONTROL!$C$32, 3.7926, 3.791) * CHOOSE(CONTROL!$C$15, $D$11, 100%, $F$11)</f>
        <v>3.7926000000000002</v>
      </c>
      <c r="K35" s="4">
        <f>CHOOSE( CONTROL!$C$32, 3.8671, 3.8655) * CHOOSE(CONTROL!$C$15, $D$11, 100%, $F$11)</f>
        <v>3.8671000000000002</v>
      </c>
      <c r="L35" s="9">
        <v>32.235500000000002</v>
      </c>
      <c r="M35" s="9">
        <v>12.063700000000001</v>
      </c>
      <c r="N35" s="9">
        <v>4.5183</v>
      </c>
      <c r="O35" s="9">
        <v>0.61570000000000003</v>
      </c>
      <c r="P35" s="9">
        <v>2.1017999999999999</v>
      </c>
      <c r="Q35" s="9"/>
      <c r="R35" s="9">
        <f t="shared" si="0"/>
        <v>0.3</v>
      </c>
      <c r="S35" s="15">
        <v>1.0738000000000001</v>
      </c>
    </row>
    <row r="36" spans="1:19" ht="15" customHeight="1">
      <c r="A36" s="13">
        <v>42217</v>
      </c>
      <c r="B36" s="8">
        <f>CHOOSE( CONTROL!$C$32, 3.9314, 3.9297) * CHOOSE(CONTROL!$C$15, $D$11, 100%, $F$11)</f>
        <v>3.9314</v>
      </c>
      <c r="C36" s="8">
        <f>CHOOSE( CONTROL!$C$32, 3.9394, 3.9377) * CHOOSE(CONTROL!$C$15, $D$11, 100%, $F$11)</f>
        <v>3.9394</v>
      </c>
      <c r="D36" s="8">
        <f>CHOOSE( CONTROL!$C$32, 3.9158, 3.9141) * CHOOSE( CONTROL!$C$15, $D$11, 100%, $F$11)</f>
        <v>3.9157999999999999</v>
      </c>
      <c r="E36" s="12">
        <f>CHOOSE( CONTROL!$C$32, 3.9229, 3.9212) * CHOOSE( CONTROL!$C$15, $D$11, 100%, $F$11)</f>
        <v>3.9228999999999998</v>
      </c>
      <c r="F36" s="4">
        <f>CHOOSE( CONTROL!$C$32, 4.6383, 4.6367) * CHOOSE(CONTROL!$C$15, $D$11, 100%, $F$11)</f>
        <v>4.6383000000000001</v>
      </c>
      <c r="G36" s="8">
        <f>CHOOSE( CONTROL!$C$32, 3.8882, 3.8866) * CHOOSE( CONTROL!$C$15, $D$11, 100%, $F$11)</f>
        <v>3.8881999999999999</v>
      </c>
      <c r="H36" s="4">
        <f>CHOOSE( CONTROL!$C$32, 4.8307, 4.829) * CHOOSE(CONTROL!$C$15, $D$11, 100%, $F$11)</f>
        <v>4.8307000000000002</v>
      </c>
      <c r="I36" s="8">
        <f>CHOOSE( CONTROL!$C$32, 3.9249, 3.9233) * CHOOSE(CONTROL!$C$15, $D$11, 100%, $F$11)</f>
        <v>3.9249000000000001</v>
      </c>
      <c r="J36" s="4">
        <f>CHOOSE( CONTROL!$C$32, 3.8046, 3.803) * CHOOSE(CONTROL!$C$15, $D$11, 100%, $F$11)</f>
        <v>3.8046000000000002</v>
      </c>
      <c r="K36" s="4">
        <f>CHOOSE( CONTROL!$C$32, 3.8794, 3.8778) * CHOOSE(CONTROL!$C$15, $D$11, 100%, $F$11)</f>
        <v>3.8794</v>
      </c>
      <c r="L36" s="9">
        <v>32.235500000000002</v>
      </c>
      <c r="M36" s="9">
        <v>12.063700000000001</v>
      </c>
      <c r="N36" s="9">
        <v>4.5183</v>
      </c>
      <c r="O36" s="9">
        <v>0.61570000000000003</v>
      </c>
      <c r="P36" s="9">
        <v>2.1017999999999999</v>
      </c>
      <c r="Q36" s="9"/>
      <c r="R36" s="9">
        <f t="shared" si="0"/>
        <v>0.3</v>
      </c>
      <c r="S36" s="15">
        <v>1.0738000000000001</v>
      </c>
    </row>
    <row r="37" spans="1:19" ht="15" customHeight="1">
      <c r="A37" s="13">
        <v>42248</v>
      </c>
      <c r="B37" s="8">
        <f>CHOOSE( CONTROL!$C$32, 3.9252, 3.9236) * CHOOSE(CONTROL!$C$15, $D$11, 100%, $F$11)</f>
        <v>3.9251999999999998</v>
      </c>
      <c r="C37" s="8">
        <f>CHOOSE( CONTROL!$C$32, 3.9332, 3.9315) * CHOOSE(CONTROL!$C$15, $D$11, 100%, $F$11)</f>
        <v>3.9331999999999998</v>
      </c>
      <c r="D37" s="8">
        <f>CHOOSE( CONTROL!$C$32, 3.9096, 3.9079) * CHOOSE( CONTROL!$C$15, $D$11, 100%, $F$11)</f>
        <v>3.9096000000000002</v>
      </c>
      <c r="E37" s="12">
        <f>CHOOSE( CONTROL!$C$32, 3.9167, 3.915) * CHOOSE( CONTROL!$C$15, $D$11, 100%, $F$11)</f>
        <v>3.9167000000000001</v>
      </c>
      <c r="F37" s="4">
        <f>CHOOSE( CONTROL!$C$32, 4.6322, 4.6305) * CHOOSE(CONTROL!$C$15, $D$11, 100%, $F$11)</f>
        <v>4.6322000000000001</v>
      </c>
      <c r="G37" s="8">
        <f>CHOOSE( CONTROL!$C$32, 3.882, 3.8804) * CHOOSE( CONTROL!$C$15, $D$11, 100%, $F$11)</f>
        <v>3.8820000000000001</v>
      </c>
      <c r="H37" s="4">
        <f>CHOOSE( CONTROL!$C$32, 4.8246, 4.8229) * CHOOSE(CONTROL!$C$15, $D$11, 100%, $F$11)</f>
        <v>4.8246000000000002</v>
      </c>
      <c r="I37" s="8">
        <f>CHOOSE( CONTROL!$C$32, 3.9188, 3.9172) * CHOOSE(CONTROL!$C$15, $D$11, 100%, $F$11)</f>
        <v>3.9188000000000001</v>
      </c>
      <c r="J37" s="4">
        <f>CHOOSE( CONTROL!$C$32, 3.7986, 3.797) * CHOOSE(CONTROL!$C$15, $D$11, 100%, $F$11)</f>
        <v>3.7986</v>
      </c>
      <c r="K37" s="4">
        <f>CHOOSE( CONTROL!$C$32, 3.8733, 3.8716) * CHOOSE(CONTROL!$C$15, $D$11, 100%, $F$11)</f>
        <v>3.8733</v>
      </c>
      <c r="L37" s="9">
        <v>31.195699999999999</v>
      </c>
      <c r="M37" s="9">
        <v>11.6745</v>
      </c>
      <c r="N37" s="9">
        <v>4.3724999999999996</v>
      </c>
      <c r="O37" s="9">
        <v>0.59589999999999999</v>
      </c>
      <c r="P37" s="9">
        <v>2.0339999999999998</v>
      </c>
      <c r="Q37" s="9"/>
      <c r="R37" s="9">
        <f t="shared" si="0"/>
        <v>0.3</v>
      </c>
      <c r="S37" s="15">
        <v>1.0738000000000001</v>
      </c>
    </row>
    <row r="38" spans="1:19" ht="15" customHeight="1">
      <c r="A38" s="13">
        <v>42278</v>
      </c>
      <c r="B38" s="8">
        <f>CHOOSE( CONTROL!$C$32, 3.9518, 3.9507) * CHOOSE(CONTROL!$C$15, $D$11, 100%, $F$11)</f>
        <v>3.9518</v>
      </c>
      <c r="C38" s="8">
        <f>CHOOSE( CONTROL!$C$32, 3.9571, 3.956) * CHOOSE(CONTROL!$C$15, $D$11, 100%, $F$11)</f>
        <v>3.9571000000000001</v>
      </c>
      <c r="D38" s="8">
        <f>CHOOSE( CONTROL!$C$32, 3.9257, 3.9247) * CHOOSE( CONTROL!$C$15, $D$11, 100%, $F$11)</f>
        <v>3.9257</v>
      </c>
      <c r="E38" s="12">
        <f>CHOOSE( CONTROL!$C$32, 3.9355, 3.9345) * CHOOSE( CONTROL!$C$15, $D$11, 100%, $F$11)</f>
        <v>3.9355000000000002</v>
      </c>
      <c r="F38" s="4">
        <f>CHOOSE( CONTROL!$C$32, 4.6604, 4.6594) * CHOOSE(CONTROL!$C$15, $D$11, 100%, $F$11)</f>
        <v>4.6604000000000001</v>
      </c>
      <c r="G38" s="8">
        <f>CHOOSE( CONTROL!$C$32, 3.9208, 3.9197) * CHOOSE( CONTROL!$C$15, $D$11, 100%, $F$11)</f>
        <v>3.9207999999999998</v>
      </c>
      <c r="H38" s="4">
        <f>CHOOSE( CONTROL!$C$32, 4.8525, 4.8514) * CHOOSE(CONTROL!$C$15, $D$11, 100%, $F$11)</f>
        <v>4.8525</v>
      </c>
      <c r="I38" s="8">
        <f>CHOOSE( CONTROL!$C$32, 3.947, 3.946) * CHOOSE(CONTROL!$C$15, $D$11, 100%, $F$11)</f>
        <v>3.9470000000000001</v>
      </c>
      <c r="J38" s="4">
        <f>CHOOSE( CONTROL!$C$32, 3.8261, 3.825) * CHOOSE(CONTROL!$C$15, $D$11, 100%, $F$11)</f>
        <v>3.8260999999999998</v>
      </c>
      <c r="K38" s="4">
        <f>CHOOSE( CONTROL!$C$32, 3.9014, 3.9003) * CHOOSE(CONTROL!$C$15, $D$11, 100%, $F$11)</f>
        <v>3.9014000000000002</v>
      </c>
      <c r="L38" s="9">
        <v>31.095300000000002</v>
      </c>
      <c r="M38" s="9">
        <v>12.063700000000001</v>
      </c>
      <c r="N38" s="9">
        <v>4.9444999999999997</v>
      </c>
      <c r="O38" s="9">
        <v>0.61570000000000003</v>
      </c>
      <c r="P38" s="9">
        <v>2.1017999999999999</v>
      </c>
      <c r="Q38" s="9"/>
      <c r="R38" s="9">
        <f t="shared" si="0"/>
        <v>0.3</v>
      </c>
      <c r="S38" s="15">
        <v>1.0738000000000001</v>
      </c>
    </row>
    <row r="39" spans="1:19" ht="15" customHeight="1">
      <c r="A39" s="13">
        <v>42309</v>
      </c>
      <c r="B39" s="8">
        <f>CHOOSE( CONTROL!$C$32, 4.0431, 4.042) * CHOOSE(CONTROL!$C$15, $D$11, 100%, $F$11)</f>
        <v>4.0430999999999999</v>
      </c>
      <c r="C39" s="8">
        <f>CHOOSE( CONTROL!$C$32, 4.0482, 4.0471) * CHOOSE(CONTROL!$C$15, $D$11, 100%, $F$11)</f>
        <v>4.0481999999999996</v>
      </c>
      <c r="D39" s="8">
        <f>CHOOSE( CONTROL!$C$32, 4.0322, 4.0311) * CHOOSE( CONTROL!$C$15, $D$11, 100%, $F$11)</f>
        <v>4.0321999999999996</v>
      </c>
      <c r="E39" s="12">
        <f>CHOOSE( CONTROL!$C$32, 4.0375, 4.0364) * CHOOSE( CONTROL!$C$15, $D$11, 100%, $F$11)</f>
        <v>4.0374999999999996</v>
      </c>
      <c r="F39" s="4">
        <f>CHOOSE( CONTROL!$C$32, 4.7084, 4.7073) * CHOOSE(CONTROL!$C$15, $D$11, 100%, $F$11)</f>
        <v>4.7084000000000001</v>
      </c>
      <c r="G39" s="8">
        <f>CHOOSE( CONTROL!$C$32, 4.0074, 4.0063) * CHOOSE( CONTROL!$C$15, $D$11, 100%, $F$11)</f>
        <v>4.0073999999999996</v>
      </c>
      <c r="H39" s="4">
        <f>CHOOSE( CONTROL!$C$32, 4.8999, 4.8988) * CHOOSE(CONTROL!$C$15, $D$11, 100%, $F$11)</f>
        <v>4.8998999999999997</v>
      </c>
      <c r="I39" s="8">
        <f>CHOOSE( CONTROL!$C$32, 4.0978, 4.0968) * CHOOSE(CONTROL!$C$15, $D$11, 100%, $F$11)</f>
        <v>4.0978000000000003</v>
      </c>
      <c r="J39" s="4">
        <f>CHOOSE( CONTROL!$C$32, 3.9151, 3.914) * CHOOSE(CONTROL!$C$15, $D$11, 100%, $F$11)</f>
        <v>3.9150999999999998</v>
      </c>
      <c r="K39" s="4">
        <f>CHOOSE( CONTROL!$C$32, 4.0104, 4.0093) * CHOOSE(CONTROL!$C$15, $D$11, 100%, $F$11)</f>
        <v>4.0103999999999997</v>
      </c>
      <c r="L39" s="9">
        <v>28.360600000000002</v>
      </c>
      <c r="M39" s="9">
        <v>11.6745</v>
      </c>
      <c r="N39" s="9">
        <v>4.7850000000000001</v>
      </c>
      <c r="O39" s="9">
        <v>0.59589999999999999</v>
      </c>
      <c r="P39" s="9">
        <v>1.1791</v>
      </c>
      <c r="Q39" s="9"/>
      <c r="R39" s="9">
        <f t="shared" si="0"/>
        <v>0.3</v>
      </c>
      <c r="S39" s="15">
        <v>1.0738000000000001</v>
      </c>
    </row>
    <row r="40" spans="1:19" ht="15" customHeight="1">
      <c r="A40" s="13">
        <v>42339</v>
      </c>
      <c r="B40" s="8">
        <f>CHOOSE( CONTROL!$C$32, 4.2028, 4.2017) * CHOOSE(CONTROL!$C$15, $D$11, 100%, $F$11)</f>
        <v>4.2027999999999999</v>
      </c>
      <c r="C40" s="8">
        <f>CHOOSE( CONTROL!$C$32, 4.2079, 4.2068) * CHOOSE(CONTROL!$C$15, $D$11, 100%, $F$11)</f>
        <v>4.2079000000000004</v>
      </c>
      <c r="D40" s="8">
        <f>CHOOSE( CONTROL!$C$32, 4.1934, 4.1923) * CHOOSE( CONTROL!$C$15, $D$11, 100%, $F$11)</f>
        <v>4.1933999999999996</v>
      </c>
      <c r="E40" s="12">
        <f>CHOOSE( CONTROL!$C$32, 4.1982, 4.1971) * CHOOSE( CONTROL!$C$15, $D$11, 100%, $F$11)</f>
        <v>4.1981999999999999</v>
      </c>
      <c r="F40" s="4">
        <f>CHOOSE( CONTROL!$C$32, 4.8681, 4.867) * CHOOSE(CONTROL!$C$15, $D$11, 100%, $F$11)</f>
        <v>4.8681000000000001</v>
      </c>
      <c r="G40" s="8">
        <f>CHOOSE( CONTROL!$C$32, 4.1662, 4.1651) * CHOOSE( CONTROL!$C$15, $D$11, 100%, $F$11)</f>
        <v>4.1661999999999999</v>
      </c>
      <c r="H40" s="4">
        <f>CHOOSE( CONTROL!$C$32, 5.0577, 5.0566) * CHOOSE(CONTROL!$C$15, $D$11, 100%, $F$11)</f>
        <v>5.0576999999999996</v>
      </c>
      <c r="I40" s="8">
        <f>CHOOSE( CONTROL!$C$32, 4.2574, 4.2563) * CHOOSE(CONTROL!$C$15, $D$11, 100%, $F$11)</f>
        <v>4.2573999999999996</v>
      </c>
      <c r="J40" s="4">
        <f>CHOOSE( CONTROL!$C$32, 4.0701, 4.069) * CHOOSE(CONTROL!$C$15, $D$11, 100%, $F$11)</f>
        <v>4.0701000000000001</v>
      </c>
      <c r="K40" s="4">
        <f>CHOOSE( CONTROL!$C$32, 4.169, 4.168) * CHOOSE(CONTROL!$C$15, $D$11, 100%, $F$11)</f>
        <v>4.1689999999999996</v>
      </c>
      <c r="L40" s="9">
        <v>29.306000000000001</v>
      </c>
      <c r="M40" s="9">
        <v>12.063700000000001</v>
      </c>
      <c r="N40" s="9">
        <v>4.9444999999999997</v>
      </c>
      <c r="O40" s="9">
        <v>0.61570000000000003</v>
      </c>
      <c r="P40" s="9">
        <v>1.2183999999999999</v>
      </c>
      <c r="Q40" s="9"/>
      <c r="R40" s="9">
        <f t="shared" si="0"/>
        <v>0.3</v>
      </c>
      <c r="S40" s="15">
        <v>1.0738000000000001</v>
      </c>
    </row>
    <row r="41" spans="1:19" ht="15" customHeight="1">
      <c r="A41" s="13">
        <v>42370</v>
      </c>
      <c r="B41" s="8">
        <f>CHOOSE( CONTROL!$C$32, 4.312, 4.3109) * CHOOSE(CONTROL!$C$15, $D$11, 100%, $F$11)</f>
        <v>4.3120000000000003</v>
      </c>
      <c r="C41" s="8">
        <f>CHOOSE( CONTROL!$C$32, 4.3171, 4.316) * CHOOSE(CONTROL!$C$15, $D$11, 100%, $F$11)</f>
        <v>4.3170999999999999</v>
      </c>
      <c r="D41" s="8">
        <f>CHOOSE( CONTROL!$C$32, 4.2922, 4.2912) * CHOOSE( CONTROL!$C$15, $D$11, 100%, $F$11)</f>
        <v>4.2922000000000002</v>
      </c>
      <c r="E41" s="12">
        <f>CHOOSE( CONTROL!$C$32, 4.3008, 4.2997) * CHOOSE( CONTROL!$C$15, $D$11, 100%, $F$11)</f>
        <v>4.3007999999999997</v>
      </c>
      <c r="F41" s="4">
        <f>CHOOSE( CONTROL!$C$32, 4.9773, 4.9762) * CHOOSE(CONTROL!$C$15, $D$11, 100%, $F$11)</f>
        <v>4.9772999999999996</v>
      </c>
      <c r="G41" s="8">
        <f>CHOOSE( CONTROL!$C$32, 4.2649, 4.2638) * CHOOSE( CONTROL!$C$15, $D$11, 100%, $F$11)</f>
        <v>4.2648999999999999</v>
      </c>
      <c r="H41" s="4">
        <f>CHOOSE( CONTROL!$C$32, 5.1656, 5.1646) * CHOOSE(CONTROL!$C$15, $D$11, 100%, $F$11)</f>
        <v>5.1656000000000004</v>
      </c>
      <c r="I41" s="8">
        <f>CHOOSE( CONTROL!$C$32, 4.3255, 4.3244) * CHOOSE(CONTROL!$C$15, $D$11, 100%, $F$11)</f>
        <v>4.3254999999999999</v>
      </c>
      <c r="J41" s="4">
        <f>CHOOSE( CONTROL!$C$32, 4.1761, 4.175) * CHOOSE(CONTROL!$C$15, $D$11, 100%, $F$11)</f>
        <v>4.1760999999999999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0.61570000000000003</v>
      </c>
      <c r="P41" s="9">
        <v>1.2183999999999999</v>
      </c>
      <c r="Q41" s="9"/>
      <c r="R41" s="9">
        <f t="shared" si="0"/>
        <v>0.3</v>
      </c>
      <c r="S41" s="11"/>
    </row>
    <row r="42" spans="1:19" ht="15" customHeight="1">
      <c r="A42" s="13">
        <v>42401</v>
      </c>
      <c r="B42" s="8">
        <f>CHOOSE( CONTROL!$C$32, 4.2842, 4.2831) * CHOOSE(CONTROL!$C$15, $D$11, 100%, $F$11)</f>
        <v>4.2842000000000002</v>
      </c>
      <c r="C42" s="8">
        <f>CHOOSE( CONTROL!$C$32, 4.2893, 4.2882) * CHOOSE(CONTROL!$C$15, $D$11, 100%, $F$11)</f>
        <v>4.2892999999999999</v>
      </c>
      <c r="D42" s="8">
        <f>CHOOSE( CONTROL!$C$32, 4.2643, 4.2632) * CHOOSE( CONTROL!$C$15, $D$11, 100%, $F$11)</f>
        <v>4.2643000000000004</v>
      </c>
      <c r="E42" s="12">
        <f>CHOOSE( CONTROL!$C$32, 4.2729, 4.2718) * CHOOSE( CONTROL!$C$15, $D$11, 100%, $F$11)</f>
        <v>4.2728999999999999</v>
      </c>
      <c r="F42" s="4">
        <f>CHOOSE( CONTROL!$C$32, 4.9495, 4.9484) * CHOOSE(CONTROL!$C$15, $D$11, 100%, $F$11)</f>
        <v>4.9494999999999996</v>
      </c>
      <c r="G42" s="8">
        <f>CHOOSE( CONTROL!$C$32, 4.2373, 4.2362) * CHOOSE( CONTROL!$C$15, $D$11, 100%, $F$11)</f>
        <v>4.2373000000000003</v>
      </c>
      <c r="H42" s="4">
        <f>CHOOSE( CONTROL!$C$32, 5.1381, 5.1371) * CHOOSE(CONTROL!$C$15, $D$11, 100%, $F$11)</f>
        <v>5.1380999999999997</v>
      </c>
      <c r="I42" s="8">
        <f>CHOOSE( CONTROL!$C$32, 4.2981, 4.297) * CHOOSE(CONTROL!$C$15, $D$11, 100%, $F$11)</f>
        <v>4.2980999999999998</v>
      </c>
      <c r="J42" s="4">
        <f>CHOOSE( CONTROL!$C$32, 4.1491, 4.148) * CHOOSE(CONTROL!$C$15, $D$11, 100%, $F$11)</f>
        <v>4.1490999999999998</v>
      </c>
      <c r="K42" s="4"/>
      <c r="L42" s="9">
        <v>27.415299999999998</v>
      </c>
      <c r="M42" s="9">
        <v>11.285299999999999</v>
      </c>
      <c r="N42" s="9">
        <v>4.6254999999999997</v>
      </c>
      <c r="O42" s="9">
        <v>0.57599999999999996</v>
      </c>
      <c r="P42" s="9">
        <v>1.1397999999999999</v>
      </c>
      <c r="Q42" s="9"/>
      <c r="R42" s="9">
        <f t="shared" si="0"/>
        <v>0.3</v>
      </c>
      <c r="S42" s="11"/>
    </row>
    <row r="43" spans="1:19" ht="15" customHeight="1">
      <c r="A43" s="13">
        <v>42430</v>
      </c>
      <c r="B43" s="8">
        <f>CHOOSE( CONTROL!$C$32, 4.2141, 4.213) * CHOOSE(CONTROL!$C$15, $D$11, 100%, $F$11)</f>
        <v>4.2141000000000002</v>
      </c>
      <c r="C43" s="8">
        <f>CHOOSE( CONTROL!$C$32, 4.2192, 4.2181) * CHOOSE(CONTROL!$C$15, $D$11, 100%, $F$11)</f>
        <v>4.2191999999999998</v>
      </c>
      <c r="D43" s="8">
        <f>CHOOSE( CONTROL!$C$32, 4.1936, 4.1925) * CHOOSE( CONTROL!$C$15, $D$11, 100%, $F$11)</f>
        <v>4.1936</v>
      </c>
      <c r="E43" s="12">
        <f>CHOOSE( CONTROL!$C$32, 4.2024, 4.2013) * CHOOSE( CONTROL!$C$15, $D$11, 100%, $F$11)</f>
        <v>4.2023999999999999</v>
      </c>
      <c r="F43" s="4">
        <f>CHOOSE( CONTROL!$C$32, 4.8794, 4.8783) * CHOOSE(CONTROL!$C$15, $D$11, 100%, $F$11)</f>
        <v>4.8794000000000004</v>
      </c>
      <c r="G43" s="8">
        <f>CHOOSE( CONTROL!$C$32, 4.1676, 4.1665) * CHOOSE( CONTROL!$C$15, $D$11, 100%, $F$11)</f>
        <v>4.1676000000000002</v>
      </c>
      <c r="H43" s="4">
        <f>CHOOSE( CONTROL!$C$32, 5.0689, 5.0678) * CHOOSE(CONTROL!$C$15, $D$11, 100%, $F$11)</f>
        <v>5.0689000000000002</v>
      </c>
      <c r="I43" s="8">
        <f>CHOOSE( CONTROL!$C$32, 4.228, 4.227) * CHOOSE(CONTROL!$C$15, $D$11, 100%, $F$11)</f>
        <v>4.2279999999999998</v>
      </c>
      <c r="J43" s="4">
        <f>CHOOSE( CONTROL!$C$32, 4.0811, 4.08) * CHOOSE(CONTROL!$C$15, $D$11, 100%, $F$11)</f>
        <v>4.0811000000000002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0.61570000000000003</v>
      </c>
      <c r="P43" s="9">
        <v>1.2183999999999999</v>
      </c>
      <c r="Q43" s="9"/>
      <c r="R43" s="9">
        <f t="shared" si="0"/>
        <v>0.3</v>
      </c>
      <c r="S43" s="11"/>
    </row>
    <row r="44" spans="1:19" ht="15" customHeight="1">
      <c r="A44" s="13">
        <v>42461</v>
      </c>
      <c r="B44" s="8">
        <f>CHOOSE( CONTROL!$C$32, 3.9861, 3.9851) * CHOOSE(CONTROL!$C$15, $D$11, 100%, $F$11)</f>
        <v>3.9861</v>
      </c>
      <c r="C44" s="8">
        <f>CHOOSE( CONTROL!$C$32, 3.9906, 3.9896) * CHOOSE(CONTROL!$C$15, $D$11, 100%, $F$11)</f>
        <v>3.9906000000000001</v>
      </c>
      <c r="D44" s="8">
        <f>CHOOSE( CONTROL!$C$32, 3.9762, 3.9751) * CHOOSE( CONTROL!$C$15, $D$11, 100%, $F$11)</f>
        <v>3.9762</v>
      </c>
      <c r="E44" s="12">
        <f>CHOOSE( CONTROL!$C$32, 3.9804, 3.9794) * CHOOSE( CONTROL!$C$15, $D$11, 100%, $F$11)</f>
        <v>3.9803999999999999</v>
      </c>
      <c r="F44" s="4">
        <f>CHOOSE( CONTROL!$C$32, 4.6944, 4.6934) * CHOOSE(CONTROL!$C$15, $D$11, 100%, $F$11)</f>
        <v>4.6943999999999999</v>
      </c>
      <c r="G44" s="8">
        <f>CHOOSE( CONTROL!$C$32, 3.9314, 3.9303) * CHOOSE( CONTROL!$C$15, $D$11, 100%, $F$11)</f>
        <v>3.9314</v>
      </c>
      <c r="H44" s="4">
        <f>CHOOSE( CONTROL!$C$32, 4.8861, 4.885) * CHOOSE(CONTROL!$C$15, $D$11, 100%, $F$11)</f>
        <v>4.8860999999999999</v>
      </c>
      <c r="I44" s="8">
        <f>CHOOSE( CONTROL!$C$32, 3.9782, 3.9771) * CHOOSE(CONTROL!$C$15, $D$11, 100%, $F$11)</f>
        <v>3.9782000000000002</v>
      </c>
      <c r="J44" s="4">
        <f>CHOOSE( CONTROL!$C$32, 3.8591, 3.858) * CHOOSE(CONTROL!$C$15, $D$11, 100%, $F$11)</f>
        <v>3.8591000000000002</v>
      </c>
      <c r="K44" s="4"/>
      <c r="L44" s="9">
        <v>30.092199999999998</v>
      </c>
      <c r="M44" s="9">
        <v>11.6745</v>
      </c>
      <c r="N44" s="9">
        <v>4.7850000000000001</v>
      </c>
      <c r="O44" s="9">
        <v>0.59589999999999999</v>
      </c>
      <c r="P44" s="9">
        <v>2.0339999999999998</v>
      </c>
      <c r="Q44" s="9"/>
      <c r="R44" s="9">
        <f t="shared" si="0"/>
        <v>0.3</v>
      </c>
      <c r="S44" s="11"/>
    </row>
    <row r="45" spans="1:19" ht="15" customHeight="1">
      <c r="A45" s="13">
        <v>42491</v>
      </c>
      <c r="B45" s="8">
        <f>CHOOSE( CONTROL!$C$32, 3.986, 3.9844) * CHOOSE(CONTROL!$C$15, $D$11, 100%, $F$11)</f>
        <v>3.9860000000000002</v>
      </c>
      <c r="C45" s="8">
        <f>CHOOSE( CONTROL!$C$32, 3.994, 3.9923) * CHOOSE(CONTROL!$C$15, $D$11, 100%, $F$11)</f>
        <v>3.9940000000000002</v>
      </c>
      <c r="D45" s="8">
        <f>CHOOSE( CONTROL!$C$32, 3.9841, 3.9824) * CHOOSE( CONTROL!$C$15, $D$11, 100%, $F$11)</f>
        <v>3.9841000000000002</v>
      </c>
      <c r="E45" s="12">
        <f>CHOOSE( CONTROL!$C$32, 3.9865, 3.9848) * CHOOSE( CONTROL!$C$15, $D$11, 100%, $F$11)</f>
        <v>3.9864999999999999</v>
      </c>
      <c r="F45" s="4">
        <f>CHOOSE( CONTROL!$C$32, 4.693, 4.6913) * CHOOSE(CONTROL!$C$15, $D$11, 100%, $F$11)</f>
        <v>4.6929999999999996</v>
      </c>
      <c r="G45" s="8">
        <f>CHOOSE( CONTROL!$C$32, 3.9266, 3.925) * CHOOSE( CONTROL!$C$15, $D$11, 100%, $F$11)</f>
        <v>3.9266000000000001</v>
      </c>
      <c r="H45" s="4">
        <f>CHOOSE( CONTROL!$C$32, 4.8846, 4.883) * CHOOSE(CONTROL!$C$15, $D$11, 100%, $F$11)</f>
        <v>4.8845999999999998</v>
      </c>
      <c r="I45" s="8">
        <f>CHOOSE( CONTROL!$C$32, 3.976, 3.9744) * CHOOSE(CONTROL!$C$15, $D$11, 100%, $F$11)</f>
        <v>3.976</v>
      </c>
      <c r="J45" s="4">
        <f>CHOOSE( CONTROL!$C$32, 3.8576, 3.856) * CHOOSE(CONTROL!$C$15, $D$11, 100%, $F$11)</f>
        <v>3.8576000000000001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/>
      <c r="R45" s="9">
        <f t="shared" si="0"/>
        <v>0.3</v>
      </c>
      <c r="S45" s="11"/>
    </row>
    <row r="46" spans="1:19" ht="15" customHeight="1">
      <c r="A46" s="13">
        <v>42522</v>
      </c>
      <c r="B46" s="8">
        <f>CHOOSE( CONTROL!$C$32, 4.0118, 4.0101) * CHOOSE(CONTROL!$C$15, $D$11, 100%, $F$11)</f>
        <v>4.0118</v>
      </c>
      <c r="C46" s="8">
        <f>CHOOSE( CONTROL!$C$32, 4.0198, 4.0181) * CHOOSE(CONTROL!$C$15, $D$11, 100%, $F$11)</f>
        <v>4.0198</v>
      </c>
      <c r="D46" s="8">
        <f>CHOOSE( CONTROL!$C$32, 4.0101, 4.0084) * CHOOSE( CONTROL!$C$15, $D$11, 100%, $F$11)</f>
        <v>4.0101000000000004</v>
      </c>
      <c r="E46" s="12">
        <f>CHOOSE( CONTROL!$C$32, 4.0124, 4.0107) * CHOOSE( CONTROL!$C$15, $D$11, 100%, $F$11)</f>
        <v>4.0124000000000004</v>
      </c>
      <c r="F46" s="4">
        <f>CHOOSE( CONTROL!$C$32, 4.7187, 4.7171) * CHOOSE(CONTROL!$C$15, $D$11, 100%, $F$11)</f>
        <v>4.7187000000000001</v>
      </c>
      <c r="G46" s="8">
        <f>CHOOSE( CONTROL!$C$32, 3.9523, 3.9507) * CHOOSE( CONTROL!$C$15, $D$11, 100%, $F$11)</f>
        <v>3.9523000000000001</v>
      </c>
      <c r="H46" s="4">
        <f>CHOOSE( CONTROL!$C$32, 4.9101, 4.9085) * CHOOSE(CONTROL!$C$15, $D$11, 100%, $F$11)</f>
        <v>4.9100999999999999</v>
      </c>
      <c r="I46" s="8">
        <f>CHOOSE( CONTROL!$C$32, 4.0018, 4.0002) * CHOOSE(CONTROL!$C$15, $D$11, 100%, $F$11)</f>
        <v>4.0018000000000002</v>
      </c>
      <c r="J46" s="4">
        <f>CHOOSE( CONTROL!$C$32, 3.8826, 3.881) * CHOOSE(CONTROL!$C$15, $D$11, 100%, $F$11)</f>
        <v>3.8826000000000001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/>
      <c r="R46" s="9">
        <f t="shared" si="0"/>
        <v>0.3</v>
      </c>
      <c r="S46" s="11"/>
    </row>
    <row r="47" spans="1:19" ht="15" customHeight="1">
      <c r="A47" s="13">
        <v>42552</v>
      </c>
      <c r="B47" s="8">
        <f>CHOOSE( CONTROL!$C$32, 4.0396, 4.0379) * CHOOSE(CONTROL!$C$15, $D$11, 100%, $F$11)</f>
        <v>4.0396000000000001</v>
      </c>
      <c r="C47" s="8">
        <f>CHOOSE( CONTROL!$C$32, 4.0476, 4.0459) * CHOOSE(CONTROL!$C$15, $D$11, 100%, $F$11)</f>
        <v>4.0476000000000001</v>
      </c>
      <c r="D47" s="8">
        <f>CHOOSE( CONTROL!$C$32, 4.0382, 4.0365) * CHOOSE( CONTROL!$C$15, $D$11, 100%, $F$11)</f>
        <v>4.0381999999999998</v>
      </c>
      <c r="E47" s="12">
        <f>CHOOSE( CONTROL!$C$32, 4.0404, 4.0387) * CHOOSE( CONTROL!$C$15, $D$11, 100%, $F$11)</f>
        <v>4.0404</v>
      </c>
      <c r="F47" s="4">
        <f>CHOOSE( CONTROL!$C$32, 4.7465, 4.7449) * CHOOSE(CONTROL!$C$15, $D$11, 100%, $F$11)</f>
        <v>4.7465000000000002</v>
      </c>
      <c r="G47" s="8">
        <f>CHOOSE( CONTROL!$C$32, 3.9801, 3.9784) * CHOOSE( CONTROL!$C$15, $D$11, 100%, $F$11)</f>
        <v>3.9801000000000002</v>
      </c>
      <c r="H47" s="4">
        <f>CHOOSE( CONTROL!$C$32, 4.9376, 4.936) * CHOOSE(CONTROL!$C$15, $D$11, 100%, $F$11)</f>
        <v>4.9375999999999998</v>
      </c>
      <c r="I47" s="8">
        <f>CHOOSE( CONTROL!$C$32, 4.0297, 4.028) * CHOOSE(CONTROL!$C$15, $D$11, 100%, $F$11)</f>
        <v>4.0297000000000001</v>
      </c>
      <c r="J47" s="4">
        <f>CHOOSE( CONTROL!$C$32, 3.9096, 3.908) * CHOOSE(CONTROL!$C$15, $D$11, 100%, $F$11)</f>
        <v>3.9096000000000002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/>
      <c r="R47" s="9">
        <f t="shared" si="0"/>
        <v>0.3</v>
      </c>
      <c r="S47" s="11"/>
    </row>
    <row r="48" spans="1:19" ht="15" customHeight="1">
      <c r="A48" s="13">
        <v>42583</v>
      </c>
      <c r="B48" s="8">
        <f>CHOOSE( CONTROL!$C$32, 4.0499, 4.0482) * CHOOSE(CONTROL!$C$15, $D$11, 100%, $F$11)</f>
        <v>4.0499000000000001</v>
      </c>
      <c r="C48" s="8">
        <f>CHOOSE( CONTROL!$C$32, 4.0579, 4.0562) * CHOOSE(CONTROL!$C$15, $D$11, 100%, $F$11)</f>
        <v>4.0579000000000001</v>
      </c>
      <c r="D48" s="8">
        <f>CHOOSE( CONTROL!$C$32, 4.0486, 4.0469) * CHOOSE( CONTROL!$C$15, $D$11, 100%, $F$11)</f>
        <v>4.0486000000000004</v>
      </c>
      <c r="E48" s="12">
        <f>CHOOSE( CONTROL!$C$32, 4.0508, 4.0491) * CHOOSE( CONTROL!$C$15, $D$11, 100%, $F$11)</f>
        <v>4.0507999999999997</v>
      </c>
      <c r="F48" s="4">
        <f>CHOOSE( CONTROL!$C$32, 4.7568, 4.7552) * CHOOSE(CONTROL!$C$15, $D$11, 100%, $F$11)</f>
        <v>4.7568000000000001</v>
      </c>
      <c r="G48" s="8">
        <f>CHOOSE( CONTROL!$C$32, 3.9904, 3.9887) * CHOOSE( CONTROL!$C$15, $D$11, 100%, $F$11)</f>
        <v>3.9904000000000002</v>
      </c>
      <c r="H48" s="4">
        <f>CHOOSE( CONTROL!$C$32, 4.9478, 4.9461) * CHOOSE(CONTROL!$C$15, $D$11, 100%, $F$11)</f>
        <v>4.9478</v>
      </c>
      <c r="I48" s="8">
        <f>CHOOSE( CONTROL!$C$32, 4.04, 4.0384) * CHOOSE(CONTROL!$C$15, $D$11, 100%, $F$11)</f>
        <v>4.04</v>
      </c>
      <c r="J48" s="4">
        <f>CHOOSE( CONTROL!$C$32, 3.9196, 3.918) * CHOOSE(CONTROL!$C$15, $D$11, 100%, $F$11)</f>
        <v>3.9196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/>
      <c r="R48" s="9">
        <f t="shared" si="0"/>
        <v>0.3</v>
      </c>
      <c r="S48" s="11"/>
    </row>
    <row r="49" spans="1:19" ht="15" customHeight="1">
      <c r="A49" s="13">
        <v>42614</v>
      </c>
      <c r="B49" s="8">
        <f>CHOOSE( CONTROL!$C$32, 4.0344, 4.0328) * CHOOSE(CONTROL!$C$15, $D$11, 100%, $F$11)</f>
        <v>4.0343999999999998</v>
      </c>
      <c r="C49" s="8">
        <f>CHOOSE( CONTROL!$C$32, 4.0424, 4.0408) * CHOOSE(CONTROL!$C$15, $D$11, 100%, $F$11)</f>
        <v>4.0423999999999998</v>
      </c>
      <c r="D49" s="8">
        <f>CHOOSE( CONTROL!$C$32, 4.0331, 4.0314) * CHOOSE( CONTROL!$C$15, $D$11, 100%, $F$11)</f>
        <v>4.0331000000000001</v>
      </c>
      <c r="E49" s="12">
        <f>CHOOSE( CONTROL!$C$32, 4.0353, 4.0336) * CHOOSE( CONTROL!$C$15, $D$11, 100%, $F$11)</f>
        <v>4.0353000000000003</v>
      </c>
      <c r="F49" s="4">
        <f>CHOOSE( CONTROL!$C$32, 4.7414, 4.7397) * CHOOSE(CONTROL!$C$15, $D$11, 100%, $F$11)</f>
        <v>4.7413999999999996</v>
      </c>
      <c r="G49" s="8">
        <f>CHOOSE( CONTROL!$C$32, 3.975, 3.9734) * CHOOSE( CONTROL!$C$15, $D$11, 100%, $F$11)</f>
        <v>3.9750000000000001</v>
      </c>
      <c r="H49" s="4">
        <f>CHOOSE( CONTROL!$C$32, 4.9325, 4.9309) * CHOOSE(CONTROL!$C$15, $D$11, 100%, $F$11)</f>
        <v>4.9325000000000001</v>
      </c>
      <c r="I49" s="8">
        <f>CHOOSE( CONTROL!$C$32, 4.0248, 4.0232) * CHOOSE(CONTROL!$C$15, $D$11, 100%, $F$11)</f>
        <v>4.0247999999999999</v>
      </c>
      <c r="J49" s="4">
        <f>CHOOSE( CONTROL!$C$32, 3.9046, 3.903) * CHOOSE(CONTROL!$C$15, $D$11, 100%, $F$11)</f>
        <v>3.9045999999999998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/>
      <c r="R49" s="9">
        <f t="shared" si="0"/>
        <v>0.3</v>
      </c>
      <c r="S49" s="11"/>
    </row>
    <row r="50" spans="1:19" ht="15" customHeight="1">
      <c r="A50" s="13">
        <v>42644</v>
      </c>
      <c r="B50" s="8">
        <f>CHOOSE( CONTROL!$C$32, 4.0589, 4.0579) * CHOOSE(CONTROL!$C$15, $D$11, 100%, $F$11)</f>
        <v>4.0589000000000004</v>
      </c>
      <c r="C50" s="8">
        <f>CHOOSE( CONTROL!$C$32, 4.0643, 4.0632) * CHOOSE(CONTROL!$C$15, $D$11, 100%, $F$11)</f>
        <v>4.0643000000000002</v>
      </c>
      <c r="D50" s="8">
        <f>CHOOSE( CONTROL!$C$32, 4.0437, 4.0426) * CHOOSE( CONTROL!$C$15, $D$11, 100%, $F$11)</f>
        <v>4.0437000000000003</v>
      </c>
      <c r="E50" s="12">
        <f>CHOOSE( CONTROL!$C$32, 4.0499, 4.0488) * CHOOSE( CONTROL!$C$15, $D$11, 100%, $F$11)</f>
        <v>4.0499000000000001</v>
      </c>
      <c r="F50" s="4">
        <f>CHOOSE( CONTROL!$C$32, 4.7676, 4.7665) * CHOOSE(CONTROL!$C$15, $D$11, 100%, $F$11)</f>
        <v>4.7675999999999998</v>
      </c>
      <c r="G50" s="8">
        <f>CHOOSE( CONTROL!$C$32, 4.0235, 4.0224) * CHOOSE( CONTROL!$C$15, $D$11, 100%, $F$11)</f>
        <v>4.0235000000000003</v>
      </c>
      <c r="H50" s="4">
        <f>CHOOSE( CONTROL!$C$32, 4.9584, 4.9573) * CHOOSE(CONTROL!$C$15, $D$11, 100%, $F$11)</f>
        <v>4.9584000000000001</v>
      </c>
      <c r="I50" s="8">
        <f>CHOOSE( CONTROL!$C$32, 4.0511, 4.05) * CHOOSE(CONTROL!$C$15, $D$11, 100%, $F$11)</f>
        <v>4.0510999999999999</v>
      </c>
      <c r="J50" s="4">
        <f>CHOOSE( CONTROL!$C$32, 3.9301, 3.929) * CHOOSE(CONTROL!$C$15, $D$11, 100%, $F$11)</f>
        <v>3.9300999999999999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/>
      <c r="R50" s="9">
        <f t="shared" si="0"/>
        <v>0.3</v>
      </c>
      <c r="S50" s="11"/>
    </row>
    <row r="51" spans="1:19" ht="15" customHeight="1">
      <c r="A51" s="13">
        <v>42675</v>
      </c>
      <c r="B51" s="8">
        <f>CHOOSE( CONTROL!$C$32, 4.1317, 4.1306) * CHOOSE(CONTROL!$C$15, $D$11, 100%, $F$11)</f>
        <v>4.1317000000000004</v>
      </c>
      <c r="C51" s="8">
        <f>CHOOSE( CONTROL!$C$32, 4.1368, 4.1357) * CHOOSE(CONTROL!$C$15, $D$11, 100%, $F$11)</f>
        <v>4.1368</v>
      </c>
      <c r="D51" s="8">
        <f>CHOOSE( CONTROL!$C$32, 4.1189, 4.1179) * CHOOSE( CONTROL!$C$15, $D$11, 100%, $F$11)</f>
        <v>4.1189</v>
      </c>
      <c r="E51" s="12">
        <f>CHOOSE( CONTROL!$C$32, 4.1249, 4.1239) * CHOOSE( CONTROL!$C$15, $D$11, 100%, $F$11)</f>
        <v>4.1249000000000002</v>
      </c>
      <c r="F51" s="4">
        <f>CHOOSE( CONTROL!$C$32, 4.797, 4.7959) * CHOOSE(CONTROL!$C$15, $D$11, 100%, $F$11)</f>
        <v>4.7969999999999997</v>
      </c>
      <c r="G51" s="8">
        <f>CHOOSE( CONTROL!$C$32, 4.0949, 4.0938) * CHOOSE( CONTROL!$C$15, $D$11, 100%, $F$11)</f>
        <v>4.0949</v>
      </c>
      <c r="H51" s="4">
        <f>CHOOSE( CONTROL!$C$32, 4.9874, 4.9864) * CHOOSE(CONTROL!$C$15, $D$11, 100%, $F$11)</f>
        <v>4.9874000000000001</v>
      </c>
      <c r="I51" s="8">
        <f>CHOOSE( CONTROL!$C$32, 4.1839, 4.1828) * CHOOSE(CONTROL!$C$15, $D$11, 100%, $F$11)</f>
        <v>4.1839000000000004</v>
      </c>
      <c r="J51" s="4">
        <f>CHOOSE( CONTROL!$C$32, 4.0011, 4) * CHOOSE(CONTROL!$C$15, $D$11, 100%, $F$11)</f>
        <v>4.0011000000000001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1.1791</v>
      </c>
      <c r="Q51" s="9"/>
      <c r="R51" s="9">
        <f t="shared" si="0"/>
        <v>0.3</v>
      </c>
      <c r="S51" s="11"/>
    </row>
    <row r="52" spans="1:19" ht="15" customHeight="1">
      <c r="A52" s="13">
        <v>42705</v>
      </c>
      <c r="B52" s="8">
        <f>CHOOSE( CONTROL!$C$32, 4.2862, 4.2852) * CHOOSE(CONTROL!$C$15, $D$11, 100%, $F$11)</f>
        <v>4.2862</v>
      </c>
      <c r="C52" s="8">
        <f>CHOOSE( CONTROL!$C$32, 4.2913, 4.2902) * CHOOSE(CONTROL!$C$15, $D$11, 100%, $F$11)</f>
        <v>4.2912999999999997</v>
      </c>
      <c r="D52" s="8">
        <f>CHOOSE( CONTROL!$C$32, 4.2749, 4.2739) * CHOOSE( CONTROL!$C$15, $D$11, 100%, $F$11)</f>
        <v>4.2748999999999997</v>
      </c>
      <c r="E52" s="12">
        <f>CHOOSE( CONTROL!$C$32, 4.2804, 4.2793) * CHOOSE( CONTROL!$C$15, $D$11, 100%, $F$11)</f>
        <v>4.2804000000000002</v>
      </c>
      <c r="F52" s="4">
        <f>CHOOSE( CONTROL!$C$32, 4.9515, 4.9504) * CHOOSE(CONTROL!$C$15, $D$11, 100%, $F$11)</f>
        <v>4.9515000000000002</v>
      </c>
      <c r="G52" s="8">
        <f>CHOOSE( CONTROL!$C$32, 4.2487, 4.2476) * CHOOSE( CONTROL!$C$15, $D$11, 100%, $F$11)</f>
        <v>4.2487000000000004</v>
      </c>
      <c r="H52" s="4">
        <f>CHOOSE( CONTROL!$C$32, 5.1402, 5.1391) * CHOOSE(CONTROL!$C$15, $D$11, 100%, $F$11)</f>
        <v>5.1402000000000001</v>
      </c>
      <c r="I52" s="8">
        <f>CHOOSE( CONTROL!$C$32, 4.3384, 4.3374) * CHOOSE(CONTROL!$C$15, $D$11, 100%, $F$11)</f>
        <v>4.3384</v>
      </c>
      <c r="J52" s="4">
        <f>CHOOSE( CONTROL!$C$32, 4.1511, 4.15) * CHOOSE(CONTROL!$C$15, $D$11, 100%, $F$11)</f>
        <v>4.1510999999999996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1.2183999999999999</v>
      </c>
      <c r="Q52" s="9"/>
      <c r="R52" s="9">
        <f t="shared" si="0"/>
        <v>0.3</v>
      </c>
      <c r="S52" s="11"/>
    </row>
    <row r="53" spans="1:19" ht="15" customHeight="1">
      <c r="A53" s="13">
        <v>42736</v>
      </c>
      <c r="B53" s="8">
        <f>CHOOSE( CONTROL!$C$32, 4.3399, 4.3388) * CHOOSE(CONTROL!$C$15, $D$11, 100%, $F$11)</f>
        <v>4.3399000000000001</v>
      </c>
      <c r="C53" s="8">
        <f>CHOOSE( CONTROL!$C$32, 4.345, 4.3439) * CHOOSE(CONTROL!$C$15, $D$11, 100%, $F$11)</f>
        <v>4.3449999999999998</v>
      </c>
      <c r="D53" s="8">
        <f>CHOOSE( CONTROL!$C$32, 4.3237, 4.3226) * CHOOSE( CONTROL!$C$15, $D$11, 100%, $F$11)</f>
        <v>4.3236999999999997</v>
      </c>
      <c r="E53" s="12">
        <f>CHOOSE( CONTROL!$C$32, 4.3309, 4.3298) * CHOOSE( CONTROL!$C$15, $D$11, 100%, $F$11)</f>
        <v>4.3308999999999997</v>
      </c>
      <c r="F53" s="4">
        <f>CHOOSE( CONTROL!$C$32, 5.0052, 5.0041) * CHOOSE(CONTROL!$C$15, $D$11, 100%, $F$11)</f>
        <v>5.0052000000000003</v>
      </c>
      <c r="G53" s="8">
        <f>CHOOSE( CONTROL!$C$32, 4.2912, 4.2901) * CHOOSE( CONTROL!$C$15, $D$11, 100%, $F$11)</f>
        <v>4.2911999999999999</v>
      </c>
      <c r="H53" s="4">
        <f>CHOOSE( CONTROL!$C$32, 5.1932, 5.1921) * CHOOSE(CONTROL!$C$15, $D$11, 100%, $F$11)</f>
        <v>5.1932</v>
      </c>
      <c r="I53" s="8">
        <f>CHOOSE( CONTROL!$C$32, 4.3526, 4.3515) * CHOOSE(CONTROL!$C$15, $D$11, 100%, $F$11)</f>
        <v>4.3525999999999998</v>
      </c>
      <c r="J53" s="4">
        <f>CHOOSE( CONTROL!$C$32, 4.2031, 4.2021) * CHOOSE(CONTROL!$C$15, $D$11, 100%, $F$11)</f>
        <v>4.2031000000000001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1.2183999999999999</v>
      </c>
      <c r="Q53" s="9"/>
      <c r="R53" s="9">
        <f t="shared" si="0"/>
        <v>0.3</v>
      </c>
      <c r="S53" s="11"/>
    </row>
    <row r="54" spans="1:19" ht="15" customHeight="1">
      <c r="A54" s="13">
        <v>42767</v>
      </c>
      <c r="B54" s="8">
        <f>CHOOSE( CONTROL!$C$32, 4.06, 4.0589) * CHOOSE(CONTROL!$C$15, $D$11, 100%, $F$11)</f>
        <v>4.0599999999999996</v>
      </c>
      <c r="C54" s="8">
        <f>CHOOSE( CONTROL!$C$32, 4.0651, 4.064) * CHOOSE(CONTROL!$C$15, $D$11, 100%, $F$11)</f>
        <v>4.0651000000000002</v>
      </c>
      <c r="D54" s="8">
        <f>CHOOSE( CONTROL!$C$32, 4.0436, 4.0426) * CHOOSE( CONTROL!$C$15, $D$11, 100%, $F$11)</f>
        <v>4.0435999999999996</v>
      </c>
      <c r="E54" s="12">
        <f>CHOOSE( CONTROL!$C$32, 4.0509, 4.0499) * CHOOSE( CONTROL!$C$15, $D$11, 100%, $F$11)</f>
        <v>4.0509000000000004</v>
      </c>
      <c r="F54" s="4">
        <f>CHOOSE( CONTROL!$C$32, 4.7253, 4.7242) * CHOOSE(CONTROL!$C$15, $D$11, 100%, $F$11)</f>
        <v>4.7252999999999998</v>
      </c>
      <c r="G54" s="8">
        <f>CHOOSE( CONTROL!$C$32, 4.0145, 4.0134) * CHOOSE( CONTROL!$C$15, $D$11, 100%, $F$11)</f>
        <v>4.0145</v>
      </c>
      <c r="H54" s="4">
        <f>CHOOSE( CONTROL!$C$32, 4.9166, 4.9155) * CHOOSE(CONTROL!$C$15, $D$11, 100%, $F$11)</f>
        <v>4.9165999999999999</v>
      </c>
      <c r="I54" s="8">
        <f>CHOOSE( CONTROL!$C$32, 4.0804, 4.0793) * CHOOSE(CONTROL!$C$15, $D$11, 100%, $F$11)</f>
        <v>4.0804</v>
      </c>
      <c r="J54" s="4">
        <f>CHOOSE( CONTROL!$C$32, 3.9315, 3.9304) * CHOOSE(CONTROL!$C$15, $D$11, 100%, $F$11)</f>
        <v>3.9315000000000002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1.1005</v>
      </c>
      <c r="Q54" s="9"/>
      <c r="R54" s="9">
        <f t="shared" si="0"/>
        <v>0.3</v>
      </c>
      <c r="S54" s="11"/>
    </row>
    <row r="55" spans="1:19" ht="15" customHeight="1">
      <c r="A55" s="13">
        <v>42795</v>
      </c>
      <c r="B55" s="8">
        <f>CHOOSE( CONTROL!$C$32, 3.9738, 3.9727) * CHOOSE(CONTROL!$C$15, $D$11, 100%, $F$11)</f>
        <v>3.9738000000000002</v>
      </c>
      <c r="C55" s="8">
        <f>CHOOSE( CONTROL!$C$32, 3.9789, 3.9778) * CHOOSE(CONTROL!$C$15, $D$11, 100%, $F$11)</f>
        <v>3.9788999999999999</v>
      </c>
      <c r="D55" s="8">
        <f>CHOOSE( CONTROL!$C$32, 3.9568, 3.9557) * CHOOSE( CONTROL!$C$15, $D$11, 100%, $F$11)</f>
        <v>3.9567999999999999</v>
      </c>
      <c r="E55" s="12">
        <f>CHOOSE( CONTROL!$C$32, 3.9643, 3.9632) * CHOOSE( CONTROL!$C$15, $D$11, 100%, $F$11)</f>
        <v>3.9643000000000002</v>
      </c>
      <c r="F55" s="4">
        <f>CHOOSE( CONTROL!$C$32, 4.6391, 4.638) * CHOOSE(CONTROL!$C$15, $D$11, 100%, $F$11)</f>
        <v>4.6391</v>
      </c>
      <c r="G55" s="8">
        <f>CHOOSE( CONTROL!$C$32, 3.9288, 3.9277) * CHOOSE( CONTROL!$C$15, $D$11, 100%, $F$11)</f>
        <v>3.9287999999999998</v>
      </c>
      <c r="H55" s="4">
        <f>CHOOSE( CONTROL!$C$32, 4.8314, 4.8303) * CHOOSE(CONTROL!$C$15, $D$11, 100%, $F$11)</f>
        <v>4.8314000000000004</v>
      </c>
      <c r="I55" s="8">
        <f>CHOOSE( CONTROL!$C$32, 3.9947, 3.9936) * CHOOSE(CONTROL!$C$15, $D$11, 100%, $F$11)</f>
        <v>3.9946999999999999</v>
      </c>
      <c r="J55" s="4">
        <f>CHOOSE( CONTROL!$C$32, 3.8478, 3.8467) * CHOOSE(CONTROL!$C$15, $D$11, 100%, $F$11)</f>
        <v>3.8477999999999999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1.2183999999999999</v>
      </c>
      <c r="Q55" s="9"/>
      <c r="R55" s="9">
        <f t="shared" si="0"/>
        <v>0.3</v>
      </c>
      <c r="S55" s="11"/>
    </row>
    <row r="56" spans="1:19" ht="15" customHeight="1">
      <c r="A56" s="13">
        <v>42826</v>
      </c>
      <c r="B56" s="8">
        <f>CHOOSE( CONTROL!$C$32, 4.0348, 4.0337) * CHOOSE(CONTROL!$C$15, $D$11, 100%, $F$11)</f>
        <v>4.0347999999999997</v>
      </c>
      <c r="C56" s="8">
        <f>CHOOSE( CONTROL!$C$32, 4.0393, 4.0382) * CHOOSE(CONTROL!$C$15, $D$11, 100%, $F$11)</f>
        <v>4.0392999999999999</v>
      </c>
      <c r="D56" s="8">
        <f>CHOOSE( CONTROL!$C$32, 4.0356, 4.0345) * CHOOSE( CONTROL!$C$15, $D$11, 100%, $F$11)</f>
        <v>4.0355999999999996</v>
      </c>
      <c r="E56" s="12">
        <f>CHOOSE( CONTROL!$C$32, 4.0363, 4.0352) * CHOOSE( CONTROL!$C$15, $D$11, 100%, $F$11)</f>
        <v>4.0362999999999998</v>
      </c>
      <c r="F56" s="4">
        <f>CHOOSE( CONTROL!$C$32, 4.7431, 4.742) * CHOOSE(CONTROL!$C$15, $D$11, 100%, $F$11)</f>
        <v>4.7431000000000001</v>
      </c>
      <c r="G56" s="8">
        <f>CHOOSE( CONTROL!$C$32, 3.9763, 3.9752) * CHOOSE( CONTROL!$C$15, $D$11, 100%, $F$11)</f>
        <v>3.9763000000000002</v>
      </c>
      <c r="H56" s="4">
        <f>CHOOSE( CONTROL!$C$32, 4.9342, 4.9331) * CHOOSE(CONTROL!$C$15, $D$11, 100%, $F$11)</f>
        <v>4.9341999999999997</v>
      </c>
      <c r="I56" s="8">
        <f>CHOOSE( CONTROL!$C$32, 4.0254, 4.0244) * CHOOSE(CONTROL!$C$15, $D$11, 100%, $F$11)</f>
        <v>4.0254000000000003</v>
      </c>
      <c r="J56" s="4">
        <f>CHOOSE( CONTROL!$C$32, 3.9063, 3.9052) * CHOOSE(CONTROL!$C$15, $D$11, 100%, $F$11)</f>
        <v>3.9062999999999999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2.0339999999999998</v>
      </c>
      <c r="Q56" s="9"/>
      <c r="R56" s="9">
        <f t="shared" si="0"/>
        <v>0.3</v>
      </c>
      <c r="S56" s="11"/>
    </row>
    <row r="57" spans="1:19" ht="15" customHeight="1">
      <c r="A57" s="13">
        <v>42856</v>
      </c>
      <c r="B57" s="8">
        <f>CHOOSE( CONTROL!$C$32, 4.1439, 4.1423) * CHOOSE(CONTROL!$C$15, $D$11, 100%, $F$11)</f>
        <v>4.1439000000000004</v>
      </c>
      <c r="C57" s="8">
        <f>CHOOSE( CONTROL!$C$32, 4.1519, 4.1503) * CHOOSE(CONTROL!$C$15, $D$11, 100%, $F$11)</f>
        <v>4.1519000000000004</v>
      </c>
      <c r="D57" s="8">
        <f>CHOOSE( CONTROL!$C$32, 4.142, 4.1403) * CHOOSE( CONTROL!$C$15, $D$11, 100%, $F$11)</f>
        <v>4.1420000000000003</v>
      </c>
      <c r="E57" s="12">
        <f>CHOOSE( CONTROL!$C$32, 4.1444, 4.1427) * CHOOSE( CONTROL!$C$15, $D$11, 100%, $F$11)</f>
        <v>4.1444000000000001</v>
      </c>
      <c r="F57" s="4">
        <f>CHOOSE( CONTROL!$C$32, 4.8509, 4.8492) * CHOOSE(CONTROL!$C$15, $D$11, 100%, $F$11)</f>
        <v>4.8509000000000002</v>
      </c>
      <c r="G57" s="8">
        <f>CHOOSE( CONTROL!$C$32, 4.0827, 4.081) * CHOOSE( CONTROL!$C$15, $D$11, 100%, $F$11)</f>
        <v>4.0827</v>
      </c>
      <c r="H57" s="4">
        <f>CHOOSE( CONTROL!$C$32, 5.0407, 5.0391) * CHOOSE(CONTROL!$C$15, $D$11, 100%, $F$11)</f>
        <v>5.0407000000000002</v>
      </c>
      <c r="I57" s="8">
        <f>CHOOSE( CONTROL!$C$32, 4.1294, 4.1277) * CHOOSE(CONTROL!$C$15, $D$11, 100%, $F$11)</f>
        <v>4.1294000000000004</v>
      </c>
      <c r="J57" s="4">
        <f>CHOOSE( CONTROL!$C$32, 4.0109, 4.0093) * CHOOSE(CONTROL!$C$15, $D$11, 100%, $F$11)</f>
        <v>4.0109000000000004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2.1017999999999999</v>
      </c>
      <c r="Q57" s="9">
        <v>25.076499999999999</v>
      </c>
      <c r="R57" s="9"/>
      <c r="S57" s="11"/>
    </row>
    <row r="58" spans="1:19" ht="15" customHeight="1">
      <c r="A58" s="13">
        <v>42887</v>
      </c>
      <c r="B58" s="8">
        <f>CHOOSE( CONTROL!$C$32, 4.0775, 4.0759) * CHOOSE(CONTROL!$C$15, $D$11, 100%, $F$11)</f>
        <v>4.0774999999999997</v>
      </c>
      <c r="C58" s="8">
        <f>CHOOSE( CONTROL!$C$32, 4.0855, 4.0838) * CHOOSE(CONTROL!$C$15, $D$11, 100%, $F$11)</f>
        <v>4.0854999999999997</v>
      </c>
      <c r="D58" s="8">
        <f>CHOOSE( CONTROL!$C$32, 4.0758, 4.0742) * CHOOSE( CONTROL!$C$15, $D$11, 100%, $F$11)</f>
        <v>4.0758000000000001</v>
      </c>
      <c r="E58" s="12">
        <f>CHOOSE( CONTROL!$C$32, 4.0781, 4.0765) * CHOOSE( CONTROL!$C$15, $D$11, 100%, $F$11)</f>
        <v>4.0781000000000001</v>
      </c>
      <c r="F58" s="4">
        <f>CHOOSE( CONTROL!$C$32, 4.7845, 4.7828) * CHOOSE(CONTROL!$C$15, $D$11, 100%, $F$11)</f>
        <v>4.7845000000000004</v>
      </c>
      <c r="G58" s="8">
        <f>CHOOSE( CONTROL!$C$32, 4.0173, 4.0157) * CHOOSE( CONTROL!$C$15, $D$11, 100%, $F$11)</f>
        <v>4.0172999999999996</v>
      </c>
      <c r="H58" s="4">
        <f>CHOOSE( CONTROL!$C$32, 4.9751, 4.9734) * CHOOSE(CONTROL!$C$15, $D$11, 100%, $F$11)</f>
        <v>4.9751000000000003</v>
      </c>
      <c r="I58" s="8">
        <f>CHOOSE( CONTROL!$C$32, 4.0656, 4.064) * CHOOSE(CONTROL!$C$15, $D$11, 100%, $F$11)</f>
        <v>4.0655999999999999</v>
      </c>
      <c r="J58" s="4">
        <f>CHOOSE( CONTROL!$C$32, 3.9464, 3.9448) * CHOOSE(CONTROL!$C$15, $D$11, 100%, $F$11)</f>
        <v>3.9464000000000001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2.0339999999999998</v>
      </c>
      <c r="Q58" s="9">
        <v>24.267600000000002</v>
      </c>
      <c r="R58" s="9"/>
      <c r="S58" s="11"/>
    </row>
    <row r="59" spans="1:19" ht="15" customHeight="1">
      <c r="A59" s="13">
        <v>42917</v>
      </c>
      <c r="B59" s="8">
        <f>CHOOSE( CONTROL!$C$32, 4.2524, 4.2508) * CHOOSE(CONTROL!$C$15, $D$11, 100%, $F$11)</f>
        <v>4.2523999999999997</v>
      </c>
      <c r="C59" s="8">
        <f>CHOOSE( CONTROL!$C$32, 4.2604, 4.2587) * CHOOSE(CONTROL!$C$15, $D$11, 100%, $F$11)</f>
        <v>4.2603999999999997</v>
      </c>
      <c r="D59" s="8">
        <f>CHOOSE( CONTROL!$C$32, 4.251, 4.2493) * CHOOSE( CONTROL!$C$15, $D$11, 100%, $F$11)</f>
        <v>4.2510000000000003</v>
      </c>
      <c r="E59" s="12">
        <f>CHOOSE( CONTROL!$C$32, 4.2532, 4.2515) * CHOOSE( CONTROL!$C$15, $D$11, 100%, $F$11)</f>
        <v>4.2531999999999996</v>
      </c>
      <c r="F59" s="4">
        <f>CHOOSE( CONTROL!$C$32, 4.9594, 4.9577) * CHOOSE(CONTROL!$C$15, $D$11, 100%, $F$11)</f>
        <v>4.9593999999999996</v>
      </c>
      <c r="G59" s="8">
        <f>CHOOSE( CONTROL!$C$32, 4.1904, 4.1888) * CHOOSE( CONTROL!$C$15, $D$11, 100%, $F$11)</f>
        <v>4.1904000000000003</v>
      </c>
      <c r="H59" s="4">
        <f>CHOOSE( CONTROL!$C$32, 5.1479, 5.1463) * CHOOSE(CONTROL!$C$15, $D$11, 100%, $F$11)</f>
        <v>5.1478999999999999</v>
      </c>
      <c r="I59" s="8">
        <f>CHOOSE( CONTROL!$C$32, 4.2363, 4.2347) * CHOOSE(CONTROL!$C$15, $D$11, 100%, $F$11)</f>
        <v>4.2363</v>
      </c>
      <c r="J59" s="4">
        <f>CHOOSE( CONTROL!$C$32, 4.1162, 4.1146) * CHOOSE(CONTROL!$C$15, $D$11, 100%, $F$11)</f>
        <v>4.1162000000000001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2.1017999999999999</v>
      </c>
      <c r="Q59" s="9">
        <v>25.076499999999999</v>
      </c>
      <c r="R59" s="9"/>
      <c r="S59" s="11"/>
    </row>
    <row r="60" spans="1:19" ht="15" customHeight="1">
      <c r="A60" s="13">
        <v>42948</v>
      </c>
      <c r="B60" s="8">
        <f>CHOOSE( CONTROL!$C$32, 3.9252, 3.9235) * CHOOSE(CONTROL!$C$15, $D$11, 100%, $F$11)</f>
        <v>3.9251999999999998</v>
      </c>
      <c r="C60" s="8">
        <f>CHOOSE( CONTROL!$C$32, 3.9331, 3.9315) * CHOOSE(CONTROL!$C$15, $D$11, 100%, $F$11)</f>
        <v>3.9331</v>
      </c>
      <c r="D60" s="8">
        <f>CHOOSE( CONTROL!$C$32, 3.9238, 3.9222) * CHOOSE( CONTROL!$C$15, $D$11, 100%, $F$11)</f>
        <v>3.9238</v>
      </c>
      <c r="E60" s="12">
        <f>CHOOSE( CONTROL!$C$32, 3.926, 3.9244) * CHOOSE( CONTROL!$C$15, $D$11, 100%, $F$11)</f>
        <v>3.9260000000000002</v>
      </c>
      <c r="F60" s="4">
        <f>CHOOSE( CONTROL!$C$32, 4.6321, 4.6304) * CHOOSE(CONTROL!$C$15, $D$11, 100%, $F$11)</f>
        <v>4.6321000000000003</v>
      </c>
      <c r="G60" s="8">
        <f>CHOOSE( CONTROL!$C$32, 3.8671, 3.8655) * CHOOSE( CONTROL!$C$15, $D$11, 100%, $F$11)</f>
        <v>3.8671000000000002</v>
      </c>
      <c r="H60" s="4">
        <f>CHOOSE( CONTROL!$C$32, 4.8245, 4.8229) * CHOOSE(CONTROL!$C$15, $D$11, 100%, $F$11)</f>
        <v>4.8244999999999996</v>
      </c>
      <c r="I60" s="8">
        <f>CHOOSE( CONTROL!$C$32, 3.9189, 3.9173) * CHOOSE(CONTROL!$C$15, $D$11, 100%, $F$11)</f>
        <v>3.9188999999999998</v>
      </c>
      <c r="J60" s="4">
        <f>CHOOSE( CONTROL!$C$32, 3.7985, 3.7969) * CHOOSE(CONTROL!$C$15, $D$11, 100%, $F$11)</f>
        <v>3.7985000000000002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2.1017999999999999</v>
      </c>
      <c r="Q60" s="9">
        <v>25.076499999999999</v>
      </c>
      <c r="R60" s="9"/>
      <c r="S60" s="11"/>
    </row>
    <row r="61" spans="1:19" ht="15" customHeight="1">
      <c r="A61" s="13">
        <v>42979</v>
      </c>
      <c r="B61" s="8">
        <f>CHOOSE( CONTROL!$C$32, 3.8432, 3.8416) * CHOOSE(CONTROL!$C$15, $D$11, 100%, $F$11)</f>
        <v>3.8431999999999999</v>
      </c>
      <c r="C61" s="8">
        <f>CHOOSE( CONTROL!$C$32, 3.8512, 3.8495) * CHOOSE(CONTROL!$C$15, $D$11, 100%, $F$11)</f>
        <v>3.8512</v>
      </c>
      <c r="D61" s="8">
        <f>CHOOSE( CONTROL!$C$32, 3.8418, 3.8402) * CHOOSE( CONTROL!$C$15, $D$11, 100%, $F$11)</f>
        <v>3.8418000000000001</v>
      </c>
      <c r="E61" s="12">
        <f>CHOOSE( CONTROL!$C$32, 3.844, 3.8424) * CHOOSE( CONTROL!$C$15, $D$11, 100%, $F$11)</f>
        <v>3.8439999999999999</v>
      </c>
      <c r="F61" s="4">
        <f>CHOOSE( CONTROL!$C$32, 4.5502, 4.5485) * CHOOSE(CONTROL!$C$15, $D$11, 100%, $F$11)</f>
        <v>4.5502000000000002</v>
      </c>
      <c r="G61" s="8">
        <f>CHOOSE( CONTROL!$C$32, 3.786, 3.7844) * CHOOSE( CONTROL!$C$15, $D$11, 100%, $F$11)</f>
        <v>3.786</v>
      </c>
      <c r="H61" s="4">
        <f>CHOOSE( CONTROL!$C$32, 4.7435, 4.7419) * CHOOSE(CONTROL!$C$15, $D$11, 100%, $F$11)</f>
        <v>4.7435</v>
      </c>
      <c r="I61" s="8">
        <f>CHOOSE( CONTROL!$C$32, 3.8391, 3.8375) * CHOOSE(CONTROL!$C$15, $D$11, 100%, $F$11)</f>
        <v>3.8391000000000002</v>
      </c>
      <c r="J61" s="4">
        <f>CHOOSE( CONTROL!$C$32, 3.719, 3.7174) * CHOOSE(CONTROL!$C$15, $D$11, 100%, $F$11)</f>
        <v>3.7189999999999999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2.0339999999999998</v>
      </c>
      <c r="Q61" s="9">
        <v>24.267600000000002</v>
      </c>
      <c r="R61" s="9"/>
      <c r="S61" s="11"/>
    </row>
    <row r="62" spans="1:19" ht="15" customHeight="1">
      <c r="A62" s="13">
        <v>43009</v>
      </c>
      <c r="B62" s="8">
        <f>CHOOSE( CONTROL!$C$32, 4.0111, 4.01) * CHOOSE(CONTROL!$C$15, $D$11, 100%, $F$11)</f>
        <v>4.0110999999999999</v>
      </c>
      <c r="C62" s="8">
        <f>CHOOSE( CONTROL!$C$32, 4.0164, 4.0153) * CHOOSE(CONTROL!$C$15, $D$11, 100%, $F$11)</f>
        <v>4.0164</v>
      </c>
      <c r="D62" s="8">
        <f>CHOOSE( CONTROL!$C$32, 3.9958, 3.9947) * CHOOSE( CONTROL!$C$15, $D$11, 100%, $F$11)</f>
        <v>3.9958</v>
      </c>
      <c r="E62" s="12">
        <f>CHOOSE( CONTROL!$C$32, 4.002, 4.0009) * CHOOSE( CONTROL!$C$15, $D$11, 100%, $F$11)</f>
        <v>4.0019999999999998</v>
      </c>
      <c r="F62" s="4">
        <f>CHOOSE( CONTROL!$C$32, 4.7197, 4.7187) * CHOOSE(CONTROL!$C$15, $D$11, 100%, $F$11)</f>
        <v>4.7196999999999996</v>
      </c>
      <c r="G62" s="8">
        <f>CHOOSE( CONTROL!$C$32, 3.9762, 3.9751) * CHOOSE( CONTROL!$C$15, $D$11, 100%, $F$11)</f>
        <v>3.9762</v>
      </c>
      <c r="H62" s="4">
        <f>CHOOSE( CONTROL!$C$32, 4.9111, 4.91) * CHOOSE(CONTROL!$C$15, $D$11, 100%, $F$11)</f>
        <v>4.9111000000000002</v>
      </c>
      <c r="I62" s="8">
        <f>CHOOSE( CONTROL!$C$32, 4.0046, 4.0036) * CHOOSE(CONTROL!$C$15, $D$11, 100%, $F$11)</f>
        <v>4.0045999999999999</v>
      </c>
      <c r="J62" s="4">
        <f>CHOOSE( CONTROL!$C$32, 3.8836, 3.8825) * CHOOSE(CONTROL!$C$15, $D$11, 100%, $F$11)</f>
        <v>3.8835999999999999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2.1017999999999999</v>
      </c>
      <c r="Q62" s="9">
        <v>25.076499999999999</v>
      </c>
      <c r="R62" s="9"/>
      <c r="S62" s="11"/>
    </row>
    <row r="63" spans="1:19" ht="15" customHeight="1">
      <c r="A63" s="13">
        <v>43040</v>
      </c>
      <c r="B63" s="8">
        <f>CHOOSE( CONTROL!$C$32, 4.3247, 4.3237) * CHOOSE(CONTROL!$C$15, $D$11, 100%, $F$11)</f>
        <v>4.3247</v>
      </c>
      <c r="C63" s="8">
        <f>CHOOSE( CONTROL!$C$32, 4.3298, 4.3287) * CHOOSE(CONTROL!$C$15, $D$11, 100%, $F$11)</f>
        <v>4.3297999999999996</v>
      </c>
      <c r="D63" s="8">
        <f>CHOOSE( CONTROL!$C$32, 4.312, 4.3109) * CHOOSE( CONTROL!$C$15, $D$11, 100%, $F$11)</f>
        <v>4.3120000000000003</v>
      </c>
      <c r="E63" s="12">
        <f>CHOOSE( CONTROL!$C$32, 4.318, 4.3169) * CHOOSE( CONTROL!$C$15, $D$11, 100%, $F$11)</f>
        <v>4.3179999999999996</v>
      </c>
      <c r="F63" s="4">
        <f>CHOOSE( CONTROL!$C$32, 4.99, 4.9889) * CHOOSE(CONTROL!$C$15, $D$11, 100%, $F$11)</f>
        <v>4.99</v>
      </c>
      <c r="G63" s="8">
        <f>CHOOSE( CONTROL!$C$32, 4.2857, 4.2846) * CHOOSE( CONTROL!$C$15, $D$11, 100%, $F$11)</f>
        <v>4.2857000000000003</v>
      </c>
      <c r="H63" s="4">
        <f>CHOOSE( CONTROL!$C$32, 5.1782, 5.1772) * CHOOSE(CONTROL!$C$15, $D$11, 100%, $F$11)</f>
        <v>5.1782000000000004</v>
      </c>
      <c r="I63" s="8">
        <f>CHOOSE( CONTROL!$C$32, 4.3713, 4.3703) * CHOOSE(CONTROL!$C$15, $D$11, 100%, $F$11)</f>
        <v>4.3712999999999997</v>
      </c>
      <c r="J63" s="4">
        <f>CHOOSE( CONTROL!$C$32, 4.1884, 4.1874) * CHOOSE(CONTROL!$C$15, $D$11, 100%, $F$11)</f>
        <v>4.1883999999999997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24.267600000000002</v>
      </c>
      <c r="R63" s="9"/>
      <c r="S63" s="11"/>
    </row>
    <row r="64" spans="1:19" ht="15" customHeight="1">
      <c r="A64" s="13">
        <v>43070</v>
      </c>
      <c r="B64" s="8">
        <f>CHOOSE( CONTROL!$C$32, 4.3169, 4.3158) * CHOOSE(CONTROL!$C$15, $D$11, 100%, $F$11)</f>
        <v>4.3169000000000004</v>
      </c>
      <c r="C64" s="8">
        <f>CHOOSE( CONTROL!$C$32, 4.322, 4.3209) * CHOOSE(CONTROL!$C$15, $D$11, 100%, $F$11)</f>
        <v>4.3220000000000001</v>
      </c>
      <c r="D64" s="8">
        <f>CHOOSE( CONTROL!$C$32, 4.3056, 4.3045) * CHOOSE( CONTROL!$C$15, $D$11, 100%, $F$11)</f>
        <v>4.3056000000000001</v>
      </c>
      <c r="E64" s="12">
        <f>CHOOSE( CONTROL!$C$32, 4.3111, 4.31) * CHOOSE( CONTROL!$C$15, $D$11, 100%, $F$11)</f>
        <v>4.3110999999999997</v>
      </c>
      <c r="F64" s="4">
        <f>CHOOSE( CONTROL!$C$32, 4.9822, 4.9811) * CHOOSE(CONTROL!$C$15, $D$11, 100%, $F$11)</f>
        <v>4.9821999999999997</v>
      </c>
      <c r="G64" s="8">
        <f>CHOOSE( CONTROL!$C$32, 4.279, 4.2779) * CHOOSE( CONTROL!$C$15, $D$11, 100%, $F$11)</f>
        <v>4.2789999999999999</v>
      </c>
      <c r="H64" s="4">
        <f>CHOOSE( CONTROL!$C$32, 5.1705, 5.1694) * CHOOSE(CONTROL!$C$15, $D$11, 100%, $F$11)</f>
        <v>5.1704999999999997</v>
      </c>
      <c r="I64" s="8">
        <f>CHOOSE( CONTROL!$C$32, 4.3682, 4.3671) * CHOOSE(CONTROL!$C$15, $D$11, 100%, $F$11)</f>
        <v>4.3681999999999999</v>
      </c>
      <c r="J64" s="4">
        <f>CHOOSE( CONTROL!$C$32, 4.1808, 4.1797) * CHOOSE(CONTROL!$C$15, $D$11, 100%, $F$11)</f>
        <v>4.1807999999999996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25.076499999999999</v>
      </c>
      <c r="R64" s="9"/>
      <c r="S64" s="11"/>
    </row>
    <row r="65" spans="1:19" ht="15" customHeight="1">
      <c r="A65" s="13">
        <v>43101</v>
      </c>
      <c r="B65" s="8">
        <f>CHOOSE( CONTROL!$C$32, 4.6039, 4.6028) * CHOOSE(CONTROL!$C$15, $D$11, 100%, $F$11)</f>
        <v>4.6039000000000003</v>
      </c>
      <c r="C65" s="8">
        <f>CHOOSE( CONTROL!$C$32, 4.6089, 4.6079) * CHOOSE(CONTROL!$C$15, $D$11, 100%, $F$11)</f>
        <v>4.6089000000000002</v>
      </c>
      <c r="D65" s="8">
        <f>CHOOSE( CONTROL!$C$32, 4.5877, 4.5866) * CHOOSE( CONTROL!$C$15, $D$11, 100%, $F$11)</f>
        <v>4.5876999999999999</v>
      </c>
      <c r="E65" s="12">
        <f>CHOOSE( CONTROL!$C$32, 4.5949, 4.5938) * CHOOSE( CONTROL!$C$15, $D$11, 100%, $F$11)</f>
        <v>4.5949</v>
      </c>
      <c r="F65" s="4">
        <f>CHOOSE( CONTROL!$C$32, 5.2691, 5.2681) * CHOOSE(CONTROL!$C$15, $D$11, 100%, $F$11)</f>
        <v>5.2690999999999999</v>
      </c>
      <c r="G65" s="8">
        <f>CHOOSE( CONTROL!$C$32, 4.5521, 4.551) * CHOOSE( CONTROL!$C$15, $D$11, 100%, $F$11)</f>
        <v>4.5521000000000003</v>
      </c>
      <c r="H65" s="4">
        <f>CHOOSE( CONTROL!$C$32, 5.4541, 5.453) * CHOOSE(CONTROL!$C$15, $D$11, 100%, $F$11)</f>
        <v>5.4541000000000004</v>
      </c>
      <c r="I65" s="8">
        <f>CHOOSE( CONTROL!$C$32, 4.6089, 4.6078) * CHOOSE(CONTROL!$C$15, $D$11, 100%, $F$11)</f>
        <v>4.6089000000000002</v>
      </c>
      <c r="J65" s="4">
        <f>CHOOSE( CONTROL!$C$32, 4.4593, 4.4582) * CHOOSE(CONTROL!$C$15, $D$11, 100%, $F$11)</f>
        <v>4.4592999999999998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24.901700000000002</v>
      </c>
      <c r="R65" s="9"/>
      <c r="S65" s="11"/>
    </row>
    <row r="66" spans="1:19" ht="15" customHeight="1">
      <c r="A66" s="13">
        <v>43132</v>
      </c>
      <c r="B66" s="8">
        <f>CHOOSE( CONTROL!$C$32, 4.3069, 4.3058) * CHOOSE(CONTROL!$C$15, $D$11, 100%, $F$11)</f>
        <v>4.3068999999999997</v>
      </c>
      <c r="C66" s="8">
        <f>CHOOSE( CONTROL!$C$32, 4.312, 4.3109) * CHOOSE(CONTROL!$C$15, $D$11, 100%, $F$11)</f>
        <v>4.3120000000000003</v>
      </c>
      <c r="D66" s="8">
        <f>CHOOSE( CONTROL!$C$32, 4.2905, 4.2895) * CHOOSE( CONTROL!$C$15, $D$11, 100%, $F$11)</f>
        <v>4.2904999999999998</v>
      </c>
      <c r="E66" s="12">
        <f>CHOOSE( CONTROL!$C$32, 4.2978, 4.2968) * CHOOSE( CONTROL!$C$15, $D$11, 100%, $F$11)</f>
        <v>4.2977999999999996</v>
      </c>
      <c r="F66" s="4">
        <f>CHOOSE( CONTROL!$C$32, 4.9722, 4.9711) * CHOOSE(CONTROL!$C$15, $D$11, 100%, $F$11)</f>
        <v>4.9722</v>
      </c>
      <c r="G66" s="8">
        <f>CHOOSE( CONTROL!$C$32, 4.2585, 4.2574) * CHOOSE( CONTROL!$C$15, $D$11, 100%, $F$11)</f>
        <v>4.2584999999999997</v>
      </c>
      <c r="H66" s="4">
        <f>CHOOSE( CONTROL!$C$32, 5.1606, 5.1595) * CHOOSE(CONTROL!$C$15, $D$11, 100%, $F$11)</f>
        <v>5.1605999999999996</v>
      </c>
      <c r="I66" s="8">
        <f>CHOOSE( CONTROL!$C$32, 4.3201, 4.319) * CHOOSE(CONTROL!$C$15, $D$11, 100%, $F$11)</f>
        <v>4.3201000000000001</v>
      </c>
      <c r="J66" s="4">
        <f>CHOOSE( CONTROL!$C$32, 4.1711, 4.17) * CHOOSE(CONTROL!$C$15, $D$11, 100%, $F$11)</f>
        <v>4.1711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22.491800000000001</v>
      </c>
      <c r="R66" s="9"/>
      <c r="S66" s="11"/>
    </row>
    <row r="67" spans="1:19" ht="15" customHeight="1">
      <c r="A67" s="13">
        <v>43160</v>
      </c>
      <c r="B67" s="8">
        <f>CHOOSE( CONTROL!$C$32, 4.2154, 4.2143) * CHOOSE(CONTROL!$C$15, $D$11, 100%, $F$11)</f>
        <v>4.2153999999999998</v>
      </c>
      <c r="C67" s="8">
        <f>CHOOSE( CONTROL!$C$32, 4.2205, 4.2194) * CHOOSE(CONTROL!$C$15, $D$11, 100%, $F$11)</f>
        <v>4.2205000000000004</v>
      </c>
      <c r="D67" s="8">
        <f>CHOOSE( CONTROL!$C$32, 4.1984, 4.1974) * CHOOSE( CONTROL!$C$15, $D$11, 100%, $F$11)</f>
        <v>4.1984000000000004</v>
      </c>
      <c r="E67" s="12">
        <f>CHOOSE( CONTROL!$C$32, 4.2059, 4.2049) * CHOOSE( CONTROL!$C$15, $D$11, 100%, $F$11)</f>
        <v>4.2058999999999997</v>
      </c>
      <c r="F67" s="4">
        <f>CHOOSE( CONTROL!$C$32, 4.8807, 4.8796) * CHOOSE(CONTROL!$C$15, $D$11, 100%, $F$11)</f>
        <v>4.8807</v>
      </c>
      <c r="G67" s="8">
        <f>CHOOSE( CONTROL!$C$32, 4.1676, 4.1665) * CHOOSE( CONTROL!$C$15, $D$11, 100%, $F$11)</f>
        <v>4.1676000000000002</v>
      </c>
      <c r="H67" s="4">
        <f>CHOOSE( CONTROL!$C$32, 5.0702, 5.0691) * CHOOSE(CONTROL!$C$15, $D$11, 100%, $F$11)</f>
        <v>5.0701999999999998</v>
      </c>
      <c r="I67" s="8">
        <f>CHOOSE( CONTROL!$C$32, 4.2293, 4.2282) * CHOOSE(CONTROL!$C$15, $D$11, 100%, $F$11)</f>
        <v>4.2293000000000003</v>
      </c>
      <c r="J67" s="4">
        <f>CHOOSE( CONTROL!$C$32, 4.0823, 4.0813) * CHOOSE(CONTROL!$C$15, $D$11, 100%, $F$11)</f>
        <v>4.0823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24.901700000000002</v>
      </c>
      <c r="R67" s="9"/>
      <c r="S67" s="11"/>
    </row>
    <row r="68" spans="1:19" ht="15" customHeight="1">
      <c r="A68" s="13">
        <v>43191</v>
      </c>
      <c r="B68" s="8">
        <f>CHOOSE( CONTROL!$C$32, 4.2801, 4.279) * CHOOSE(CONTROL!$C$15, $D$11, 100%, $F$11)</f>
        <v>4.2801</v>
      </c>
      <c r="C68" s="8">
        <f>CHOOSE( CONTROL!$C$32, 4.2846, 4.2835) * CHOOSE(CONTROL!$C$15, $D$11, 100%, $F$11)</f>
        <v>4.2846000000000002</v>
      </c>
      <c r="D68" s="8">
        <f>CHOOSE( CONTROL!$C$32, 4.2875, 4.2864) * CHOOSE( CONTROL!$C$15, $D$11, 100%, $F$11)</f>
        <v>4.2874999999999996</v>
      </c>
      <c r="E68" s="12">
        <f>CHOOSE( CONTROL!$C$32, 4.286, 4.2849) * CHOOSE( CONTROL!$C$15, $D$11, 100%, $F$11)</f>
        <v>4.2859999999999996</v>
      </c>
      <c r="F68" s="4">
        <f>CHOOSE( CONTROL!$C$32, 4.9884, 4.9873) * CHOOSE(CONTROL!$C$15, $D$11, 100%, $F$11)</f>
        <v>4.9884000000000004</v>
      </c>
      <c r="G68" s="8">
        <f>CHOOSE( CONTROL!$C$32, 4.2413, 4.2402) * CHOOSE( CONTROL!$C$15, $D$11, 100%, $F$11)</f>
        <v>4.2412999999999998</v>
      </c>
      <c r="H68" s="4">
        <f>CHOOSE( CONTROL!$C$32, 5.1766, 5.1756) * CHOOSE(CONTROL!$C$15, $D$11, 100%, $F$11)</f>
        <v>5.1765999999999996</v>
      </c>
      <c r="I68" s="8">
        <f>CHOOSE( CONTROL!$C$32, 4.2636, 4.2626) * CHOOSE(CONTROL!$C$15, $D$11, 100%, $F$11)</f>
        <v>4.2636000000000003</v>
      </c>
      <c r="J68" s="4">
        <f>CHOOSE( CONTROL!$C$32, 4.1443, 4.1433) * CHOOSE(CONTROL!$C$15, $D$11, 100%, $F$11)</f>
        <v>4.1443000000000003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1.2509999999999999</v>
      </c>
      <c r="Q68" s="9">
        <v>24.098400000000002</v>
      </c>
      <c r="R68" s="9"/>
      <c r="S68" s="11"/>
    </row>
    <row r="69" spans="1:19" ht="15" customHeight="1">
      <c r="A69" s="13">
        <v>43221</v>
      </c>
      <c r="B69" s="8">
        <f>CHOOSE( CONTROL!$C$32, 4.3958, 4.3941) * CHOOSE(CONTROL!$C$15, $D$11, 100%, $F$11)</f>
        <v>4.3958000000000004</v>
      </c>
      <c r="C69" s="8">
        <f>CHOOSE( CONTROL!$C$32, 4.4038, 4.4021) * CHOOSE(CONTROL!$C$15, $D$11, 100%, $F$11)</f>
        <v>4.4038000000000004</v>
      </c>
      <c r="D69" s="8">
        <f>CHOOSE( CONTROL!$C$32, 4.4005, 4.3989) * CHOOSE( CONTROL!$C$15, $D$11, 100%, $F$11)</f>
        <v>4.4005000000000001</v>
      </c>
      <c r="E69" s="12">
        <f>CHOOSE( CONTROL!$C$32, 4.4005, 4.3988) * CHOOSE( CONTROL!$C$15, $D$11, 100%, $F$11)</f>
        <v>4.4005000000000001</v>
      </c>
      <c r="F69" s="4">
        <f>CHOOSE( CONTROL!$C$32, 5.1027, 5.1011) * CHOOSE(CONTROL!$C$15, $D$11, 100%, $F$11)</f>
        <v>5.1026999999999996</v>
      </c>
      <c r="G69" s="8">
        <f>CHOOSE( CONTROL!$C$32, 4.3541, 4.3525) * CHOOSE( CONTROL!$C$15, $D$11, 100%, $F$11)</f>
        <v>4.3540999999999999</v>
      </c>
      <c r="H69" s="4">
        <f>CHOOSE( CONTROL!$C$32, 5.2896, 5.288) * CHOOSE(CONTROL!$C$15, $D$11, 100%, $F$11)</f>
        <v>5.2896000000000001</v>
      </c>
      <c r="I69" s="8">
        <f>CHOOSE( CONTROL!$C$32, 4.3739, 4.3723) * CHOOSE(CONTROL!$C$15, $D$11, 100%, $F$11)</f>
        <v>4.3738999999999999</v>
      </c>
      <c r="J69" s="4">
        <f>CHOOSE( CONTROL!$C$32, 4.2553, 4.2537) * CHOOSE(CONTROL!$C$15, $D$11, 100%, $F$11)</f>
        <v>4.2553000000000001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1.2927</v>
      </c>
      <c r="Q69" s="9">
        <v>24.901700000000002</v>
      </c>
      <c r="R69" s="9"/>
      <c r="S69" s="11"/>
    </row>
    <row r="70" spans="1:19" ht="15" customHeight="1">
      <c r="A70" s="13">
        <v>43252</v>
      </c>
      <c r="B70" s="8">
        <f>CHOOSE( CONTROL!$C$32, 4.3253, 4.3237) * CHOOSE(CONTROL!$C$15, $D$11, 100%, $F$11)</f>
        <v>4.3253000000000004</v>
      </c>
      <c r="C70" s="8">
        <f>CHOOSE( CONTROL!$C$32, 4.3333, 4.3316) * CHOOSE(CONTROL!$C$15, $D$11, 100%, $F$11)</f>
        <v>4.3333000000000004</v>
      </c>
      <c r="D70" s="8">
        <f>CHOOSE( CONTROL!$C$32, 4.3303, 4.3286) * CHOOSE( CONTROL!$C$15, $D$11, 100%, $F$11)</f>
        <v>4.3303000000000003</v>
      </c>
      <c r="E70" s="12">
        <f>CHOOSE( CONTROL!$C$32, 4.3302, 4.3285) * CHOOSE( CONTROL!$C$15, $D$11, 100%, $F$11)</f>
        <v>4.3301999999999996</v>
      </c>
      <c r="F70" s="4">
        <f>CHOOSE( CONTROL!$C$32, 5.0323, 5.0306) * CHOOSE(CONTROL!$C$15, $D$11, 100%, $F$11)</f>
        <v>5.0323000000000002</v>
      </c>
      <c r="G70" s="8">
        <f>CHOOSE( CONTROL!$C$32, 4.2847, 4.283) * CHOOSE( CONTROL!$C$15, $D$11, 100%, $F$11)</f>
        <v>4.2847</v>
      </c>
      <c r="H70" s="4">
        <f>CHOOSE( CONTROL!$C$32, 5.22, 5.2183) * CHOOSE(CONTROL!$C$15, $D$11, 100%, $F$11)</f>
        <v>5.22</v>
      </c>
      <c r="I70" s="8">
        <f>CHOOSE( CONTROL!$C$32, 4.3063, 4.3046) * CHOOSE(CONTROL!$C$15, $D$11, 100%, $F$11)</f>
        <v>4.3063000000000002</v>
      </c>
      <c r="J70" s="4">
        <f>CHOOSE( CONTROL!$C$32, 4.1869, 4.1853) * CHOOSE(CONTROL!$C$15, $D$11, 100%, $F$11)</f>
        <v>4.1868999999999996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1.2509999999999999</v>
      </c>
      <c r="Q70" s="9">
        <v>24.098400000000002</v>
      </c>
      <c r="R70" s="9"/>
      <c r="S70" s="11"/>
    </row>
    <row r="71" spans="1:19" ht="15" customHeight="1">
      <c r="A71" s="13">
        <v>43282</v>
      </c>
      <c r="B71" s="8">
        <f>CHOOSE( CONTROL!$C$32, 4.5109, 4.5092) * CHOOSE(CONTROL!$C$15, $D$11, 100%, $F$11)</f>
        <v>4.5109000000000004</v>
      </c>
      <c r="C71" s="8">
        <f>CHOOSE( CONTROL!$C$32, 4.5189, 4.5172) * CHOOSE(CONTROL!$C$15, $D$11, 100%, $F$11)</f>
        <v>4.5189000000000004</v>
      </c>
      <c r="D71" s="8">
        <f>CHOOSE( CONTROL!$C$32, 4.5161, 4.5144) * CHOOSE( CONTROL!$C$15, $D$11, 100%, $F$11)</f>
        <v>4.5160999999999998</v>
      </c>
      <c r="E71" s="12">
        <f>CHOOSE( CONTROL!$C$32, 4.5159, 4.5142) * CHOOSE( CONTROL!$C$15, $D$11, 100%, $F$11)</f>
        <v>4.5159000000000002</v>
      </c>
      <c r="F71" s="4">
        <f>CHOOSE( CONTROL!$C$32, 5.2178, 5.2162) * CHOOSE(CONTROL!$C$15, $D$11, 100%, $F$11)</f>
        <v>5.2178000000000004</v>
      </c>
      <c r="G71" s="8">
        <f>CHOOSE( CONTROL!$C$32, 4.4682, 4.4666) * CHOOSE( CONTROL!$C$15, $D$11, 100%, $F$11)</f>
        <v>4.4682000000000004</v>
      </c>
      <c r="H71" s="4">
        <f>CHOOSE( CONTROL!$C$32, 5.4034, 5.4017) * CHOOSE(CONTROL!$C$15, $D$11, 100%, $F$11)</f>
        <v>5.4034000000000004</v>
      </c>
      <c r="I71" s="8">
        <f>CHOOSE( CONTROL!$C$32, 4.4873, 4.4857) * CHOOSE(CONTROL!$C$15, $D$11, 100%, $F$11)</f>
        <v>4.4873000000000003</v>
      </c>
      <c r="J71" s="4">
        <f>CHOOSE( CONTROL!$C$32, 4.367, 4.3654) * CHOOSE(CONTROL!$C$15, $D$11, 100%, $F$11)</f>
        <v>4.367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1.2927</v>
      </c>
      <c r="Q71" s="9">
        <v>24.901700000000002</v>
      </c>
      <c r="R71" s="9"/>
      <c r="S71" s="11"/>
    </row>
    <row r="72" spans="1:19" ht="15" customHeight="1">
      <c r="A72" s="13">
        <v>43313</v>
      </c>
      <c r="B72" s="8">
        <f>CHOOSE( CONTROL!$C$32, 4.1637, 4.162) * CHOOSE(CONTROL!$C$15, $D$11, 100%, $F$11)</f>
        <v>4.1637000000000004</v>
      </c>
      <c r="C72" s="8">
        <f>CHOOSE( CONTROL!$C$32, 4.1716, 4.17) * CHOOSE(CONTROL!$C$15, $D$11, 100%, $F$11)</f>
        <v>4.1715999999999998</v>
      </c>
      <c r="D72" s="8">
        <f>CHOOSE( CONTROL!$C$32, 4.169, 4.1673) * CHOOSE( CONTROL!$C$15, $D$11, 100%, $F$11)</f>
        <v>4.1689999999999996</v>
      </c>
      <c r="E72" s="12">
        <f>CHOOSE( CONTROL!$C$32, 4.1687, 4.1671) * CHOOSE( CONTROL!$C$15, $D$11, 100%, $F$11)</f>
        <v>4.1687000000000003</v>
      </c>
      <c r="F72" s="4">
        <f>CHOOSE( CONTROL!$C$32, 4.8706, 4.869) * CHOOSE(CONTROL!$C$15, $D$11, 100%, $F$11)</f>
        <v>4.8705999999999996</v>
      </c>
      <c r="G72" s="8">
        <f>CHOOSE( CONTROL!$C$32, 4.1252, 4.1235) * CHOOSE( CONTROL!$C$15, $D$11, 100%, $F$11)</f>
        <v>4.1252000000000004</v>
      </c>
      <c r="H72" s="4">
        <f>CHOOSE( CONTROL!$C$32, 5.0602, 5.0586) * CHOOSE(CONTROL!$C$15, $D$11, 100%, $F$11)</f>
        <v>5.0602</v>
      </c>
      <c r="I72" s="8">
        <f>CHOOSE( CONTROL!$C$32, 4.1505, 4.1489) * CHOOSE(CONTROL!$C$15, $D$11, 100%, $F$11)</f>
        <v>4.1505000000000001</v>
      </c>
      <c r="J72" s="4">
        <f>CHOOSE( CONTROL!$C$32, 4.03, 4.0284) * CHOOSE(CONTROL!$C$15, $D$11, 100%, $F$11)</f>
        <v>4.03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1.2927</v>
      </c>
      <c r="Q72" s="9">
        <v>24.901700000000002</v>
      </c>
      <c r="R72" s="9"/>
      <c r="S72" s="11"/>
    </row>
    <row r="73" spans="1:19" ht="15" customHeight="1">
      <c r="A73" s="13">
        <v>43344</v>
      </c>
      <c r="B73" s="8">
        <f>CHOOSE( CONTROL!$C$32, 4.0767, 4.0751) * CHOOSE(CONTROL!$C$15, $D$11, 100%, $F$11)</f>
        <v>4.0766999999999998</v>
      </c>
      <c r="C73" s="8">
        <f>CHOOSE( CONTROL!$C$32, 4.0847, 4.083) * CHOOSE(CONTROL!$C$15, $D$11, 100%, $F$11)</f>
        <v>4.0846999999999998</v>
      </c>
      <c r="D73" s="8">
        <f>CHOOSE( CONTROL!$C$32, 4.082, 4.0803) * CHOOSE( CONTROL!$C$15, $D$11, 100%, $F$11)</f>
        <v>4.0819999999999999</v>
      </c>
      <c r="E73" s="12">
        <f>CHOOSE( CONTROL!$C$32, 4.0818, 4.0801) * CHOOSE( CONTROL!$C$15, $D$11, 100%, $F$11)</f>
        <v>4.0818000000000003</v>
      </c>
      <c r="F73" s="4">
        <f>CHOOSE( CONTROL!$C$32, 4.7837, 4.782) * CHOOSE(CONTROL!$C$15, $D$11, 100%, $F$11)</f>
        <v>4.7836999999999996</v>
      </c>
      <c r="G73" s="8">
        <f>CHOOSE( CONTROL!$C$32, 4.0392, 4.0376) * CHOOSE( CONTROL!$C$15, $D$11, 100%, $F$11)</f>
        <v>4.0392000000000001</v>
      </c>
      <c r="H73" s="4">
        <f>CHOOSE( CONTROL!$C$32, 4.9743, 4.9727) * CHOOSE(CONTROL!$C$15, $D$11, 100%, $F$11)</f>
        <v>4.9743000000000004</v>
      </c>
      <c r="I73" s="8">
        <f>CHOOSE( CONTROL!$C$32, 4.0659, 4.0643) * CHOOSE(CONTROL!$C$15, $D$11, 100%, $F$11)</f>
        <v>4.0659000000000001</v>
      </c>
      <c r="J73" s="4">
        <f>CHOOSE( CONTROL!$C$32, 3.9456, 3.944) * CHOOSE(CONTROL!$C$15, $D$11, 100%, $F$11)</f>
        <v>3.9456000000000002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1.2509999999999999</v>
      </c>
      <c r="Q73" s="9">
        <v>24.098400000000002</v>
      </c>
      <c r="R73" s="9"/>
      <c r="S73" s="11"/>
    </row>
    <row r="74" spans="1:19" ht="15" customHeight="1">
      <c r="A74" s="13">
        <v>43374</v>
      </c>
      <c r="B74" s="8">
        <f>CHOOSE( CONTROL!$C$32, 4.255, 4.2539) * CHOOSE(CONTROL!$C$15, $D$11, 100%, $F$11)</f>
        <v>4.2549999999999999</v>
      </c>
      <c r="C74" s="8">
        <f>CHOOSE( CONTROL!$C$32, 4.2603, 4.2592) * CHOOSE(CONTROL!$C$15, $D$11, 100%, $F$11)</f>
        <v>4.2603</v>
      </c>
      <c r="D74" s="8">
        <f>CHOOSE( CONTROL!$C$32, 4.2632, 4.2621) * CHOOSE( CONTROL!$C$15, $D$11, 100%, $F$11)</f>
        <v>4.2632000000000003</v>
      </c>
      <c r="E74" s="12">
        <f>CHOOSE( CONTROL!$C$32, 4.2617, 4.2606) * CHOOSE( CONTROL!$C$15, $D$11, 100%, $F$11)</f>
        <v>4.2617000000000003</v>
      </c>
      <c r="F74" s="4">
        <f>CHOOSE( CONTROL!$C$32, 4.9636, 4.9625) * CHOOSE(CONTROL!$C$15, $D$11, 100%, $F$11)</f>
        <v>4.9635999999999996</v>
      </c>
      <c r="G74" s="8">
        <f>CHOOSE( CONTROL!$C$32, 4.2172, 4.2161) * CHOOSE( CONTROL!$C$15, $D$11, 100%, $F$11)</f>
        <v>4.2172000000000001</v>
      </c>
      <c r="H74" s="4">
        <f>CHOOSE( CONTROL!$C$32, 5.1521, 5.1511) * CHOOSE(CONTROL!$C$15, $D$11, 100%, $F$11)</f>
        <v>5.1520999999999999</v>
      </c>
      <c r="I74" s="8">
        <f>CHOOSE( CONTROL!$C$32, 4.2414, 4.2404) * CHOOSE(CONTROL!$C$15, $D$11, 100%, $F$11)</f>
        <v>4.2413999999999996</v>
      </c>
      <c r="J74" s="4">
        <f>CHOOSE( CONTROL!$C$32, 4.1203, 4.1192) * CHOOSE(CONTROL!$C$15, $D$11, 100%, $F$11)</f>
        <v>4.1203000000000003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1.2927</v>
      </c>
      <c r="Q74" s="9">
        <v>24.901700000000002</v>
      </c>
      <c r="R74" s="9"/>
      <c r="S74" s="11"/>
    </row>
    <row r="75" spans="1:19" ht="15" customHeight="1">
      <c r="A75" s="13">
        <v>43405</v>
      </c>
      <c r="B75" s="8">
        <f>CHOOSE( CONTROL!$C$32, 4.5878, 4.5867) * CHOOSE(CONTROL!$C$15, $D$11, 100%, $F$11)</f>
        <v>4.5877999999999997</v>
      </c>
      <c r="C75" s="8">
        <f>CHOOSE( CONTROL!$C$32, 4.5929, 4.5918) * CHOOSE(CONTROL!$C$15, $D$11, 100%, $F$11)</f>
        <v>4.5929000000000002</v>
      </c>
      <c r="D75" s="8">
        <f>CHOOSE( CONTROL!$C$32, 4.575, 4.574) * CHOOSE( CONTROL!$C$15, $D$11, 100%, $F$11)</f>
        <v>4.5750000000000002</v>
      </c>
      <c r="E75" s="12">
        <f>CHOOSE( CONTROL!$C$32, 4.581, 4.58) * CHOOSE( CONTROL!$C$15, $D$11, 100%, $F$11)</f>
        <v>4.5810000000000004</v>
      </c>
      <c r="F75" s="4">
        <f>CHOOSE( CONTROL!$C$32, 5.2531, 5.252) * CHOOSE(CONTROL!$C$15, $D$11, 100%, $F$11)</f>
        <v>5.2530999999999999</v>
      </c>
      <c r="G75" s="8">
        <f>CHOOSE( CONTROL!$C$32, 4.5456, 4.5446) * CHOOSE( CONTROL!$C$15, $D$11, 100%, $F$11)</f>
        <v>4.5456000000000003</v>
      </c>
      <c r="H75" s="4">
        <f>CHOOSE( CONTROL!$C$32, 5.4382, 5.4371) * CHOOSE(CONTROL!$C$15, $D$11, 100%, $F$11)</f>
        <v>5.4382000000000001</v>
      </c>
      <c r="I75" s="8">
        <f>CHOOSE( CONTROL!$C$32, 4.6267, 4.6257) * CHOOSE(CONTROL!$C$15, $D$11, 100%, $F$11)</f>
        <v>4.6266999999999996</v>
      </c>
      <c r="J75" s="4">
        <f>CHOOSE( CONTROL!$C$32, 4.4437, 4.4426) * CHOOSE(CONTROL!$C$15, $D$11, 100%, $F$11)</f>
        <v>4.4436999999999998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24.098400000000002</v>
      </c>
      <c r="R75" s="9"/>
      <c r="S75" s="11"/>
    </row>
    <row r="76" spans="1:19" ht="15" customHeight="1">
      <c r="A76" s="13">
        <v>43435</v>
      </c>
      <c r="B76" s="8">
        <f>CHOOSE( CONTROL!$C$32, 4.5795, 4.5784) * CHOOSE(CONTROL!$C$15, $D$11, 100%, $F$11)</f>
        <v>4.5795000000000003</v>
      </c>
      <c r="C76" s="8">
        <f>CHOOSE( CONTROL!$C$32, 4.5845, 4.5835) * CHOOSE(CONTROL!$C$15, $D$11, 100%, $F$11)</f>
        <v>4.5845000000000002</v>
      </c>
      <c r="D76" s="8">
        <f>CHOOSE( CONTROL!$C$32, 4.5681, 4.5671) * CHOOSE( CONTROL!$C$15, $D$11, 100%, $F$11)</f>
        <v>4.5681000000000003</v>
      </c>
      <c r="E76" s="12">
        <f>CHOOSE( CONTROL!$C$32, 4.5736, 4.5726) * CHOOSE( CONTROL!$C$15, $D$11, 100%, $F$11)</f>
        <v>4.5735999999999999</v>
      </c>
      <c r="F76" s="4">
        <f>CHOOSE( CONTROL!$C$32, 5.2447, 5.2437) * CHOOSE(CONTROL!$C$15, $D$11, 100%, $F$11)</f>
        <v>5.2446999999999999</v>
      </c>
      <c r="G76" s="8">
        <f>CHOOSE( CONTROL!$C$32, 4.5384, 4.5374) * CHOOSE( CONTROL!$C$15, $D$11, 100%, $F$11)</f>
        <v>4.5384000000000002</v>
      </c>
      <c r="H76" s="4">
        <f>CHOOSE( CONTROL!$C$32, 5.43, 5.4289) * CHOOSE(CONTROL!$C$15, $D$11, 100%, $F$11)</f>
        <v>5.43</v>
      </c>
      <c r="I76" s="8">
        <f>CHOOSE( CONTROL!$C$32, 4.6231, 4.6221) * CHOOSE(CONTROL!$C$15, $D$11, 100%, $F$11)</f>
        <v>4.6231</v>
      </c>
      <c r="J76" s="4">
        <f>CHOOSE( CONTROL!$C$32, 4.4356, 4.4346) * CHOOSE(CONTROL!$C$15, $D$11, 100%, $F$11)</f>
        <v>4.4356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24.901700000000002</v>
      </c>
      <c r="R76" s="9"/>
      <c r="S76" s="11"/>
    </row>
    <row r="77" spans="1:19" ht="15" customHeight="1">
      <c r="A77" s="13">
        <v>43466</v>
      </c>
      <c r="B77" s="8">
        <f>CHOOSE( CONTROL!$C$32, 4.9645, 4.9634) * CHOOSE(CONTROL!$C$15, $D$11, 100%, $F$11)</f>
        <v>4.9645000000000001</v>
      </c>
      <c r="C77" s="8">
        <f>CHOOSE( CONTROL!$C$32, 4.9695, 4.9685) * CHOOSE(CONTROL!$C$15, $D$11, 100%, $F$11)</f>
        <v>4.9695</v>
      </c>
      <c r="D77" s="8">
        <f>CHOOSE( CONTROL!$C$32, 4.9482, 4.9472) * CHOOSE( CONTROL!$C$15, $D$11, 100%, $F$11)</f>
        <v>4.9481999999999999</v>
      </c>
      <c r="E77" s="12">
        <f>CHOOSE( CONTROL!$C$32, 4.9555, 4.9544) * CHOOSE( CONTROL!$C$15, $D$11, 100%, $F$11)</f>
        <v>4.9554999999999998</v>
      </c>
      <c r="F77" s="4">
        <f>CHOOSE( CONTROL!$C$32, 5.6297, 5.6287) * CHOOSE(CONTROL!$C$15, $D$11, 100%, $F$11)</f>
        <v>5.6296999999999997</v>
      </c>
      <c r="G77" s="8">
        <f>CHOOSE( CONTROL!$C$32, 4.9084, 4.9074) * CHOOSE( CONTROL!$C$15, $D$11, 100%, $F$11)</f>
        <v>4.9084000000000003</v>
      </c>
      <c r="H77" s="4">
        <f>CHOOSE( CONTROL!$C$32, 5.8105, 5.8094) * CHOOSE(CONTROL!$C$15, $D$11, 100%, $F$11)</f>
        <v>5.8105000000000002</v>
      </c>
      <c r="I77" s="8">
        <f>CHOOSE( CONTROL!$C$32, 4.959, 4.9579) * CHOOSE(CONTROL!$C$15, $D$11, 100%, $F$11)</f>
        <v>4.9589999999999996</v>
      </c>
      <c r="J77" s="4">
        <f>CHOOSE( CONTROL!$C$32, 4.8093, 4.8082) * CHOOSE(CONTROL!$C$15, $D$11, 100%, $F$11)</f>
        <v>4.8093000000000004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24.651199999999999</v>
      </c>
      <c r="R77" s="9"/>
      <c r="S77" s="11"/>
    </row>
    <row r="78" spans="1:19" ht="15" customHeight="1">
      <c r="A78" s="13">
        <v>43497</v>
      </c>
      <c r="B78" s="8">
        <f>CHOOSE( CONTROL!$C$32, 4.6442, 4.6431) * CHOOSE(CONTROL!$C$15, $D$11, 100%, $F$11)</f>
        <v>4.6441999999999997</v>
      </c>
      <c r="C78" s="8">
        <f>CHOOSE( CONTROL!$C$32, 4.6492, 4.6482) * CHOOSE(CONTROL!$C$15, $D$11, 100%, $F$11)</f>
        <v>4.6492000000000004</v>
      </c>
      <c r="D78" s="8">
        <f>CHOOSE( CONTROL!$C$32, 4.6278, 4.6267) * CHOOSE( CONTROL!$C$15, $D$11, 100%, $F$11)</f>
        <v>4.6277999999999997</v>
      </c>
      <c r="E78" s="12">
        <f>CHOOSE( CONTROL!$C$32, 4.6351, 4.634) * CHOOSE( CONTROL!$C$15, $D$11, 100%, $F$11)</f>
        <v>4.6351000000000004</v>
      </c>
      <c r="F78" s="4">
        <f>CHOOSE( CONTROL!$C$32, 5.3095, 5.3084) * CHOOSE(CONTROL!$C$15, $D$11, 100%, $F$11)</f>
        <v>5.3094999999999999</v>
      </c>
      <c r="G78" s="8">
        <f>CHOOSE( CONTROL!$C$32, 4.5918, 4.5907) * CHOOSE( CONTROL!$C$15, $D$11, 100%, $F$11)</f>
        <v>4.5918000000000001</v>
      </c>
      <c r="H78" s="4">
        <f>CHOOSE( CONTROL!$C$32, 5.4939, 5.4928) * CHOOSE(CONTROL!$C$15, $D$11, 100%, $F$11)</f>
        <v>5.4939</v>
      </c>
      <c r="I78" s="8">
        <f>CHOOSE( CONTROL!$C$32, 4.6476, 4.6465) * CHOOSE(CONTROL!$C$15, $D$11, 100%, $F$11)</f>
        <v>4.6475999999999997</v>
      </c>
      <c r="J78" s="4">
        <f>CHOOSE( CONTROL!$C$32, 4.4984, 4.4974) * CHOOSE(CONTROL!$C$15, $D$11, 100%, $F$11)</f>
        <v>4.4984000000000002</v>
      </c>
      <c r="K78" s="4"/>
      <c r="L78" s="9">
        <v>26.469899999999999</v>
      </c>
      <c r="M78" s="9">
        <v>10.8962</v>
      </c>
      <c r="N78" s="9">
        <v>4.4660000000000002</v>
      </c>
      <c r="O78" s="9">
        <v>0.33789999999999998</v>
      </c>
      <c r="P78" s="9">
        <v>1.1676</v>
      </c>
      <c r="Q78" s="9">
        <v>22.265599999999999</v>
      </c>
      <c r="R78" s="9"/>
      <c r="S78" s="11"/>
    </row>
    <row r="79" spans="1:19" ht="15" customHeight="1">
      <c r="A79" s="13">
        <v>43525</v>
      </c>
      <c r="B79" s="8">
        <f>CHOOSE( CONTROL!$C$32, 4.5455, 4.5444) * CHOOSE(CONTROL!$C$15, $D$11, 100%, $F$11)</f>
        <v>4.5454999999999997</v>
      </c>
      <c r="C79" s="8">
        <f>CHOOSE( CONTROL!$C$32, 4.5506, 4.5495) * CHOOSE(CONTROL!$C$15, $D$11, 100%, $F$11)</f>
        <v>4.5506000000000002</v>
      </c>
      <c r="D79" s="8">
        <f>CHOOSE( CONTROL!$C$32, 4.5285, 4.5275) * CHOOSE( CONTROL!$C$15, $D$11, 100%, $F$11)</f>
        <v>4.5285000000000002</v>
      </c>
      <c r="E79" s="12">
        <f>CHOOSE( CONTROL!$C$32, 4.536, 4.535) * CHOOSE( CONTROL!$C$15, $D$11, 100%, $F$11)</f>
        <v>4.5359999999999996</v>
      </c>
      <c r="F79" s="4">
        <f>CHOOSE( CONTROL!$C$32, 5.2108, 5.2097) * CHOOSE(CONTROL!$C$15, $D$11, 100%, $F$11)</f>
        <v>5.2107999999999999</v>
      </c>
      <c r="G79" s="8">
        <f>CHOOSE( CONTROL!$C$32, 4.4939, 4.4928) * CHOOSE( CONTROL!$C$15, $D$11, 100%, $F$11)</f>
        <v>4.4939</v>
      </c>
      <c r="H79" s="4">
        <f>CHOOSE( CONTROL!$C$32, 5.3964, 5.3954) * CHOOSE(CONTROL!$C$15, $D$11, 100%, $F$11)</f>
        <v>5.3963999999999999</v>
      </c>
      <c r="I79" s="8">
        <f>CHOOSE( CONTROL!$C$32, 4.5498, 4.5488) * CHOOSE(CONTROL!$C$15, $D$11, 100%, $F$11)</f>
        <v>4.5498000000000003</v>
      </c>
      <c r="J79" s="4">
        <f>CHOOSE( CONTROL!$C$32, 4.4027, 4.4016) * CHOOSE(CONTROL!$C$15, $D$11, 100%, $F$11)</f>
        <v>4.4027000000000003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24.651199999999999</v>
      </c>
      <c r="R79" s="9"/>
      <c r="S79" s="11"/>
    </row>
    <row r="80" spans="1:19" ht="15" customHeight="1">
      <c r="A80" s="13">
        <v>43556</v>
      </c>
      <c r="B80" s="8">
        <f>CHOOSE( CONTROL!$C$32, 4.6152, 4.6141) * CHOOSE(CONTROL!$C$15, $D$11, 100%, $F$11)</f>
        <v>4.6151999999999997</v>
      </c>
      <c r="C80" s="8">
        <f>CHOOSE( CONTROL!$C$32, 4.6197, 4.6186) * CHOOSE(CONTROL!$C$15, $D$11, 100%, $F$11)</f>
        <v>4.6196999999999999</v>
      </c>
      <c r="D80" s="8">
        <f>CHOOSE( CONTROL!$C$32, 4.6226, 4.6215) * CHOOSE( CONTROL!$C$15, $D$11, 100%, $F$11)</f>
        <v>4.6226000000000003</v>
      </c>
      <c r="E80" s="12">
        <f>CHOOSE( CONTROL!$C$32, 4.6211, 4.62) * CHOOSE( CONTROL!$C$15, $D$11, 100%, $F$11)</f>
        <v>4.6211000000000002</v>
      </c>
      <c r="F80" s="4">
        <f>CHOOSE( CONTROL!$C$32, 5.3235, 5.3224) * CHOOSE(CONTROL!$C$15, $D$11, 100%, $F$11)</f>
        <v>5.3235000000000001</v>
      </c>
      <c r="G80" s="8">
        <f>CHOOSE( CONTROL!$C$32, 4.5725, 4.5714) * CHOOSE( CONTROL!$C$15, $D$11, 100%, $F$11)</f>
        <v>4.5724999999999998</v>
      </c>
      <c r="H80" s="4">
        <f>CHOOSE( CONTROL!$C$32, 5.5078, 5.5068) * CHOOSE(CONTROL!$C$15, $D$11, 100%, $F$11)</f>
        <v>5.5077999999999996</v>
      </c>
      <c r="I80" s="8">
        <f>CHOOSE( CONTROL!$C$32, 4.589, 4.588) * CHOOSE(CONTROL!$C$15, $D$11, 100%, $F$11)</f>
        <v>4.5890000000000004</v>
      </c>
      <c r="J80" s="4">
        <f>CHOOSE( CONTROL!$C$32, 4.4696, 4.4685) * CHOOSE(CONTROL!$C$15, $D$11, 100%, $F$11)</f>
        <v>4.4695999999999998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1.2509999999999999</v>
      </c>
      <c r="Q80" s="9">
        <v>23.856000000000002</v>
      </c>
      <c r="R80" s="9"/>
      <c r="S80" s="11"/>
    </row>
    <row r="81" spans="1:19" ht="15" customHeight="1">
      <c r="A81" s="13">
        <v>43586</v>
      </c>
      <c r="B81" s="8">
        <f>CHOOSE( CONTROL!$C$32, 4.7398, 4.7382) * CHOOSE(CONTROL!$C$15, $D$11, 100%, $F$11)</f>
        <v>4.7397999999999998</v>
      </c>
      <c r="C81" s="8">
        <f>CHOOSE( CONTROL!$C$32, 4.7478, 4.7462) * CHOOSE(CONTROL!$C$15, $D$11, 100%, $F$11)</f>
        <v>4.7477999999999998</v>
      </c>
      <c r="D81" s="8">
        <f>CHOOSE( CONTROL!$C$32, 4.7446, 4.7429) * CHOOSE( CONTROL!$C$15, $D$11, 100%, $F$11)</f>
        <v>4.7446000000000002</v>
      </c>
      <c r="E81" s="12">
        <f>CHOOSE( CONTROL!$C$32, 4.7445, 4.7429) * CHOOSE( CONTROL!$C$15, $D$11, 100%, $F$11)</f>
        <v>4.7445000000000004</v>
      </c>
      <c r="F81" s="4">
        <f>CHOOSE( CONTROL!$C$32, 5.4468, 5.4451) * CHOOSE(CONTROL!$C$15, $D$11, 100%, $F$11)</f>
        <v>5.4467999999999996</v>
      </c>
      <c r="G81" s="8">
        <f>CHOOSE( CONTROL!$C$32, 4.6941, 4.6925) * CHOOSE( CONTROL!$C$15, $D$11, 100%, $F$11)</f>
        <v>4.6940999999999997</v>
      </c>
      <c r="H81" s="4">
        <f>CHOOSE( CONTROL!$C$32, 5.6296, 5.628) * CHOOSE(CONTROL!$C$15, $D$11, 100%, $F$11)</f>
        <v>5.6295999999999999</v>
      </c>
      <c r="I81" s="8">
        <f>CHOOSE( CONTROL!$C$32, 4.708, 4.7064) * CHOOSE(CONTROL!$C$15, $D$11, 100%, $F$11)</f>
        <v>4.7080000000000002</v>
      </c>
      <c r="J81" s="4">
        <f>CHOOSE( CONTROL!$C$32, 4.5892, 4.5876) * CHOOSE(CONTROL!$C$15, $D$11, 100%, $F$11)</f>
        <v>4.5891999999999999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1.2927</v>
      </c>
      <c r="Q81" s="9">
        <v>24.651199999999999</v>
      </c>
      <c r="R81" s="9"/>
      <c r="S81" s="11"/>
    </row>
    <row r="82" spans="1:19" ht="15" customHeight="1">
      <c r="A82" s="13">
        <v>43617</v>
      </c>
      <c r="B82" s="8">
        <f>CHOOSE( CONTROL!$C$32, 4.6638, 4.6622) * CHOOSE(CONTROL!$C$15, $D$11, 100%, $F$11)</f>
        <v>4.6638000000000002</v>
      </c>
      <c r="C82" s="8">
        <f>CHOOSE( CONTROL!$C$32, 4.6718, 4.6702) * CHOOSE(CONTROL!$C$15, $D$11, 100%, $F$11)</f>
        <v>4.6718000000000002</v>
      </c>
      <c r="D82" s="8">
        <f>CHOOSE( CONTROL!$C$32, 4.6688, 4.6671) * CHOOSE( CONTROL!$C$15, $D$11, 100%, $F$11)</f>
        <v>4.6688000000000001</v>
      </c>
      <c r="E82" s="12">
        <f>CHOOSE( CONTROL!$C$32, 4.6687, 4.667) * CHOOSE( CONTROL!$C$15, $D$11, 100%, $F$11)</f>
        <v>4.6687000000000003</v>
      </c>
      <c r="F82" s="4">
        <f>CHOOSE( CONTROL!$C$32, 5.3708, 5.3691) * CHOOSE(CONTROL!$C$15, $D$11, 100%, $F$11)</f>
        <v>5.3708</v>
      </c>
      <c r="G82" s="8">
        <f>CHOOSE( CONTROL!$C$32, 4.6192, 4.6176) * CHOOSE( CONTROL!$C$15, $D$11, 100%, $F$11)</f>
        <v>4.6192000000000002</v>
      </c>
      <c r="H82" s="4">
        <f>CHOOSE( CONTROL!$C$32, 5.5545, 5.5529) * CHOOSE(CONTROL!$C$15, $D$11, 100%, $F$11)</f>
        <v>5.5545</v>
      </c>
      <c r="I82" s="8">
        <f>CHOOSE( CONTROL!$C$32, 4.635, 4.6333) * CHOOSE(CONTROL!$C$15, $D$11, 100%, $F$11)</f>
        <v>4.6349999999999998</v>
      </c>
      <c r="J82" s="4">
        <f>CHOOSE( CONTROL!$C$32, 4.5154, 4.5138) * CHOOSE(CONTROL!$C$15, $D$11, 100%, $F$11)</f>
        <v>4.5153999999999996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1.2509999999999999</v>
      </c>
      <c r="Q82" s="9">
        <v>23.856000000000002</v>
      </c>
      <c r="R82" s="9"/>
      <c r="S82" s="11"/>
    </row>
    <row r="83" spans="1:19" ht="15" customHeight="1">
      <c r="A83" s="13">
        <v>43647</v>
      </c>
      <c r="B83" s="8">
        <f>CHOOSE( CONTROL!$C$32, 4.864, 4.8623) * CHOOSE(CONTROL!$C$15, $D$11, 100%, $F$11)</f>
        <v>4.8639999999999999</v>
      </c>
      <c r="C83" s="8">
        <f>CHOOSE( CONTROL!$C$32, 4.872, 4.8703) * CHOOSE(CONTROL!$C$15, $D$11, 100%, $F$11)</f>
        <v>4.8719999999999999</v>
      </c>
      <c r="D83" s="8">
        <f>CHOOSE( CONTROL!$C$32, 4.8692, 4.8675) * CHOOSE( CONTROL!$C$15, $D$11, 100%, $F$11)</f>
        <v>4.8692000000000002</v>
      </c>
      <c r="E83" s="12">
        <f>CHOOSE( CONTROL!$C$32, 4.869, 4.8673) * CHOOSE( CONTROL!$C$15, $D$11, 100%, $F$11)</f>
        <v>4.8689999999999998</v>
      </c>
      <c r="F83" s="4">
        <f>CHOOSE( CONTROL!$C$32, 5.5709, 5.5693) * CHOOSE(CONTROL!$C$15, $D$11, 100%, $F$11)</f>
        <v>5.5709</v>
      </c>
      <c r="G83" s="8">
        <f>CHOOSE( CONTROL!$C$32, 4.8172, 4.8156) * CHOOSE( CONTROL!$C$15, $D$11, 100%, $F$11)</f>
        <v>4.8171999999999997</v>
      </c>
      <c r="H83" s="4">
        <f>CHOOSE( CONTROL!$C$32, 5.7523, 5.7507) * CHOOSE(CONTROL!$C$15, $D$11, 100%, $F$11)</f>
        <v>5.7523</v>
      </c>
      <c r="I83" s="8">
        <f>CHOOSE( CONTROL!$C$32, 4.8301, 4.8285) * CHOOSE(CONTROL!$C$15, $D$11, 100%, $F$11)</f>
        <v>4.8300999999999998</v>
      </c>
      <c r="J83" s="4">
        <f>CHOOSE( CONTROL!$C$32, 4.7097, 4.7081) * CHOOSE(CONTROL!$C$15, $D$11, 100%, $F$11)</f>
        <v>4.7096999999999998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1.2927</v>
      </c>
      <c r="Q83" s="9">
        <v>24.651199999999999</v>
      </c>
      <c r="R83" s="9"/>
      <c r="S83" s="11"/>
    </row>
    <row r="84" spans="1:19" ht="15" customHeight="1">
      <c r="A84" s="13">
        <v>43678</v>
      </c>
      <c r="B84" s="8">
        <f>CHOOSE( CONTROL!$C$32, 4.4895, 4.4878) * CHOOSE(CONTROL!$C$15, $D$11, 100%, $F$11)</f>
        <v>4.4894999999999996</v>
      </c>
      <c r="C84" s="8">
        <f>CHOOSE( CONTROL!$C$32, 4.4975, 4.4958) * CHOOSE(CONTROL!$C$15, $D$11, 100%, $F$11)</f>
        <v>4.4974999999999996</v>
      </c>
      <c r="D84" s="8">
        <f>CHOOSE( CONTROL!$C$32, 4.4948, 4.4931) * CHOOSE( CONTROL!$C$15, $D$11, 100%, $F$11)</f>
        <v>4.4947999999999997</v>
      </c>
      <c r="E84" s="12">
        <f>CHOOSE( CONTROL!$C$32, 4.4946, 4.4929) * CHOOSE( CONTROL!$C$15, $D$11, 100%, $F$11)</f>
        <v>4.4946000000000002</v>
      </c>
      <c r="F84" s="4">
        <f>CHOOSE( CONTROL!$C$32, 5.1964, 5.1948) * CHOOSE(CONTROL!$C$15, $D$11, 100%, $F$11)</f>
        <v>5.1963999999999997</v>
      </c>
      <c r="G84" s="8">
        <f>CHOOSE( CONTROL!$C$32, 4.4472, 4.4455) * CHOOSE( CONTROL!$C$15, $D$11, 100%, $F$11)</f>
        <v>4.4471999999999996</v>
      </c>
      <c r="H84" s="4">
        <f>CHOOSE( CONTROL!$C$32, 5.3822, 5.3806) * CHOOSE(CONTROL!$C$15, $D$11, 100%, $F$11)</f>
        <v>5.3822000000000001</v>
      </c>
      <c r="I84" s="8">
        <f>CHOOSE( CONTROL!$C$32, 4.4669, 4.4652) * CHOOSE(CONTROL!$C$15, $D$11, 100%, $F$11)</f>
        <v>4.4668999999999999</v>
      </c>
      <c r="J84" s="4">
        <f>CHOOSE( CONTROL!$C$32, 4.3462, 4.3446) * CHOOSE(CONTROL!$C$15, $D$11, 100%, $F$11)</f>
        <v>4.3461999999999996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1.2927</v>
      </c>
      <c r="Q84" s="9">
        <v>24.651199999999999</v>
      </c>
      <c r="R84" s="9"/>
      <c r="S84" s="11"/>
    </row>
    <row r="85" spans="1:19" ht="15" customHeight="1">
      <c r="A85" s="13">
        <v>43709</v>
      </c>
      <c r="B85" s="8">
        <f>CHOOSE( CONTROL!$C$32, 4.3957, 4.3941) * CHOOSE(CONTROL!$C$15, $D$11, 100%, $F$11)</f>
        <v>4.3956999999999997</v>
      </c>
      <c r="C85" s="8">
        <f>CHOOSE( CONTROL!$C$32, 4.4037, 4.402) * CHOOSE(CONTROL!$C$15, $D$11, 100%, $F$11)</f>
        <v>4.4036999999999997</v>
      </c>
      <c r="D85" s="8">
        <f>CHOOSE( CONTROL!$C$32, 4.401, 4.3993) * CHOOSE( CONTROL!$C$15, $D$11, 100%, $F$11)</f>
        <v>4.4009999999999998</v>
      </c>
      <c r="E85" s="12">
        <f>CHOOSE( CONTROL!$C$32, 4.4008, 4.3991) * CHOOSE( CONTROL!$C$15, $D$11, 100%, $F$11)</f>
        <v>4.4008000000000003</v>
      </c>
      <c r="F85" s="4">
        <f>CHOOSE( CONTROL!$C$32, 5.1027, 5.101) * CHOOSE(CONTROL!$C$15, $D$11, 100%, $F$11)</f>
        <v>5.1026999999999996</v>
      </c>
      <c r="G85" s="8">
        <f>CHOOSE( CONTROL!$C$32, 4.3545, 4.3528) * CHOOSE( CONTROL!$C$15, $D$11, 100%, $F$11)</f>
        <v>4.3544999999999998</v>
      </c>
      <c r="H85" s="4">
        <f>CHOOSE( CONTROL!$C$32, 5.2896, 5.2879) * CHOOSE(CONTROL!$C$15, $D$11, 100%, $F$11)</f>
        <v>5.2896000000000001</v>
      </c>
      <c r="I85" s="8">
        <f>CHOOSE( CONTROL!$C$32, 4.3756, 4.374) * CHOOSE(CONTROL!$C$15, $D$11, 100%, $F$11)</f>
        <v>4.3756000000000004</v>
      </c>
      <c r="J85" s="4">
        <f>CHOOSE( CONTROL!$C$32, 4.2552, 4.2536) * CHOOSE(CONTROL!$C$15, $D$11, 100%, $F$11)</f>
        <v>4.2552000000000003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1.2509999999999999</v>
      </c>
      <c r="Q85" s="9">
        <v>23.856000000000002</v>
      </c>
      <c r="R85" s="9"/>
      <c r="S85" s="11"/>
    </row>
    <row r="86" spans="1:19" ht="15" customHeight="1">
      <c r="A86" s="13">
        <v>43739</v>
      </c>
      <c r="B86" s="8">
        <f>CHOOSE( CONTROL!$C$32, 4.5881, 4.5871) * CHOOSE(CONTROL!$C$15, $D$11, 100%, $F$11)</f>
        <v>4.5880999999999998</v>
      </c>
      <c r="C86" s="8">
        <f>CHOOSE( CONTROL!$C$32, 4.5935, 4.5924) * CHOOSE(CONTROL!$C$15, $D$11, 100%, $F$11)</f>
        <v>4.5934999999999997</v>
      </c>
      <c r="D86" s="8">
        <f>CHOOSE( CONTROL!$C$32, 4.5964, 4.5953) * CHOOSE( CONTROL!$C$15, $D$11, 100%, $F$11)</f>
        <v>4.5964</v>
      </c>
      <c r="E86" s="12">
        <f>CHOOSE( CONTROL!$C$32, 4.5949, 4.5938) * CHOOSE( CONTROL!$C$15, $D$11, 100%, $F$11)</f>
        <v>4.5949</v>
      </c>
      <c r="F86" s="4">
        <f>CHOOSE( CONTROL!$C$32, 5.2968, 5.2957) * CHOOSE(CONTROL!$C$15, $D$11, 100%, $F$11)</f>
        <v>5.2968000000000002</v>
      </c>
      <c r="G86" s="8">
        <f>CHOOSE( CONTROL!$C$32, 4.5465, 4.5454) * CHOOSE( CONTROL!$C$15, $D$11, 100%, $F$11)</f>
        <v>4.5465</v>
      </c>
      <c r="H86" s="4">
        <f>CHOOSE( CONTROL!$C$32, 5.4814, 5.4803) * CHOOSE(CONTROL!$C$15, $D$11, 100%, $F$11)</f>
        <v>5.4813999999999998</v>
      </c>
      <c r="I86" s="8">
        <f>CHOOSE( CONTROL!$C$32, 4.5649, 4.5639) * CHOOSE(CONTROL!$C$15, $D$11, 100%, $F$11)</f>
        <v>4.5648999999999997</v>
      </c>
      <c r="J86" s="4">
        <f>CHOOSE( CONTROL!$C$32, 4.4436, 4.4426) * CHOOSE(CONTROL!$C$15, $D$11, 100%, $F$11)</f>
        <v>4.4436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1.2927</v>
      </c>
      <c r="Q86" s="9">
        <v>24.651199999999999</v>
      </c>
      <c r="R86" s="9"/>
      <c r="S86" s="11"/>
    </row>
    <row r="87" spans="1:19" ht="15" customHeight="1">
      <c r="A87" s="13">
        <v>43770</v>
      </c>
      <c r="B87" s="8">
        <f>CHOOSE( CONTROL!$C$32, 4.9471, 4.946) * CHOOSE(CONTROL!$C$15, $D$11, 100%, $F$11)</f>
        <v>4.9470999999999998</v>
      </c>
      <c r="C87" s="8">
        <f>CHOOSE( CONTROL!$C$32, 4.9522, 4.9511) * CHOOSE(CONTROL!$C$15, $D$11, 100%, $F$11)</f>
        <v>4.9522000000000004</v>
      </c>
      <c r="D87" s="8">
        <f>CHOOSE( CONTROL!$C$32, 4.9344, 4.9333) * CHOOSE( CONTROL!$C$15, $D$11, 100%, $F$11)</f>
        <v>4.9344000000000001</v>
      </c>
      <c r="E87" s="12">
        <f>CHOOSE( CONTROL!$C$32, 4.9404, 4.9393) * CHOOSE( CONTROL!$C$15, $D$11, 100%, $F$11)</f>
        <v>4.9404000000000003</v>
      </c>
      <c r="F87" s="4">
        <f>CHOOSE( CONTROL!$C$32, 5.6124, 5.6113) * CHOOSE(CONTROL!$C$15, $D$11, 100%, $F$11)</f>
        <v>5.6124000000000001</v>
      </c>
      <c r="G87" s="8">
        <f>CHOOSE( CONTROL!$C$32, 4.9008, 4.8997) * CHOOSE( CONTROL!$C$15, $D$11, 100%, $F$11)</f>
        <v>4.9008000000000003</v>
      </c>
      <c r="H87" s="4">
        <f>CHOOSE( CONTROL!$C$32, 5.7933, 5.7922) * CHOOSE(CONTROL!$C$15, $D$11, 100%, $F$11)</f>
        <v>5.7933000000000003</v>
      </c>
      <c r="I87" s="8">
        <f>CHOOSE( CONTROL!$C$32, 4.9756, 4.9746) * CHOOSE(CONTROL!$C$15, $D$11, 100%, $F$11)</f>
        <v>4.9756</v>
      </c>
      <c r="J87" s="4">
        <f>CHOOSE( CONTROL!$C$32, 4.7924, 4.7914) * CHOOSE(CONTROL!$C$15, $D$11, 100%, $F$11)</f>
        <v>4.7923999999999998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23.856000000000002</v>
      </c>
      <c r="R87" s="9"/>
      <c r="S87" s="11"/>
    </row>
    <row r="88" spans="1:19" ht="15.75">
      <c r="A88" s="13">
        <v>43800</v>
      </c>
      <c r="B88" s="8">
        <f>CHOOSE( CONTROL!$C$32, 4.9381, 4.9371) * CHOOSE(CONTROL!$C$15, $D$11, 100%, $F$11)</f>
        <v>4.9381000000000004</v>
      </c>
      <c r="C88" s="8">
        <f>CHOOSE( CONTROL!$C$32, 4.9432, 4.9421) * CHOOSE(CONTROL!$C$15, $D$11, 100%, $F$11)</f>
        <v>4.9432</v>
      </c>
      <c r="D88" s="8">
        <f>CHOOSE( CONTROL!$C$32, 4.9268, 4.9257) * CHOOSE( CONTROL!$C$15, $D$11, 100%, $F$11)</f>
        <v>4.9268000000000001</v>
      </c>
      <c r="E88" s="12">
        <f>CHOOSE( CONTROL!$C$32, 4.9323, 4.9312) * CHOOSE( CONTROL!$C$15, $D$11, 100%, $F$11)</f>
        <v>4.9322999999999997</v>
      </c>
      <c r="F88" s="4">
        <f>CHOOSE( CONTROL!$C$32, 5.6034, 5.6023) * CHOOSE(CONTROL!$C$15, $D$11, 100%, $F$11)</f>
        <v>5.6033999999999997</v>
      </c>
      <c r="G88" s="8">
        <f>CHOOSE( CONTROL!$C$32, 4.8929, 4.8918) * CHOOSE( CONTROL!$C$15, $D$11, 100%, $F$11)</f>
        <v>4.8929</v>
      </c>
      <c r="H88" s="4">
        <f>CHOOSE( CONTROL!$C$32, 5.7844, 5.7834) * CHOOSE(CONTROL!$C$15, $D$11, 100%, $F$11)</f>
        <v>5.7843999999999998</v>
      </c>
      <c r="I88" s="8">
        <f>CHOOSE( CONTROL!$C$32, 4.9714, 4.9703) * CHOOSE(CONTROL!$C$15, $D$11, 100%, $F$11)</f>
        <v>4.9714</v>
      </c>
      <c r="J88" s="4">
        <f>CHOOSE( CONTROL!$C$32, 4.7837, 4.7827) * CHOOSE(CONTROL!$C$15, $D$11, 100%, $F$11)</f>
        <v>4.7836999999999996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24.651199999999999</v>
      </c>
      <c r="R88" s="9"/>
      <c r="S88" s="11"/>
    </row>
    <row r="89" spans="1:19" ht="15.75">
      <c r="A89" s="13">
        <v>43831</v>
      </c>
      <c r="B89" s="8">
        <f>CHOOSE( CONTROL!$C$32, 5.4545, 5.4534) * CHOOSE(CONTROL!$C$15, $D$11, 100%, $F$11)</f>
        <v>5.4545000000000003</v>
      </c>
      <c r="C89" s="8">
        <f>CHOOSE( CONTROL!$C$32, 5.4595, 5.4584) * CHOOSE(CONTROL!$C$15, $D$11, 100%, $F$11)</f>
        <v>5.4595000000000002</v>
      </c>
      <c r="D89" s="8">
        <f>CHOOSE( CONTROL!$C$32, 5.4382, 5.4372) * CHOOSE( CONTROL!$C$15, $D$11, 100%, $F$11)</f>
        <v>5.4382000000000001</v>
      </c>
      <c r="E89" s="12">
        <f>CHOOSE( CONTROL!$C$32, 5.4455, 5.4444) * CHOOSE( CONTROL!$C$15, $D$11, 100%, $F$11)</f>
        <v>5.4455</v>
      </c>
      <c r="F89" s="4">
        <f>CHOOSE( CONTROL!$C$32, 6.1197, 6.1186) * CHOOSE(CONTROL!$C$15, $D$11, 100%, $F$11)</f>
        <v>6.1196999999999999</v>
      </c>
      <c r="G89" s="8">
        <f>CHOOSE( CONTROL!$C$32, 5.3927, 5.3916) * CHOOSE( CONTROL!$C$15, $D$11, 100%, $F$11)</f>
        <v>5.3926999999999996</v>
      </c>
      <c r="H89" s="4">
        <f>CHOOSE( CONTROL!$C$32, 6.2947, 6.2936) * CHOOSE(CONTROL!$C$15, $D$11, 100%, $F$11)</f>
        <v>6.2946999999999997</v>
      </c>
      <c r="I89" s="8">
        <f>CHOOSE( CONTROL!$C$32, 5.4348, 5.4337) * CHOOSE(CONTROL!$C$15, $D$11, 100%, $F$11)</f>
        <v>5.4348000000000001</v>
      </c>
      <c r="J89" s="4">
        <f>CHOOSE( CONTROL!$C$32, 5.2848, 5.2837) * CHOOSE(CONTROL!$C$15, $D$11, 100%, $F$11)</f>
        <v>5.2847999999999997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22.150099999999998</v>
      </c>
      <c r="R89" s="9"/>
      <c r="S89" s="11"/>
    </row>
    <row r="90" spans="1:19" ht="15.75">
      <c r="A90" s="13">
        <v>43862</v>
      </c>
      <c r="B90" s="8">
        <f>CHOOSE( CONTROL!$C$32, 5.1025, 5.1014) * CHOOSE(CONTROL!$C$15, $D$11, 100%, $F$11)</f>
        <v>5.1025</v>
      </c>
      <c r="C90" s="8">
        <f>CHOOSE( CONTROL!$C$32, 5.1076, 5.1065) * CHOOSE(CONTROL!$C$15, $D$11, 100%, $F$11)</f>
        <v>5.1075999999999997</v>
      </c>
      <c r="D90" s="8">
        <f>CHOOSE( CONTROL!$C$32, 5.0861, 5.0851) * CHOOSE( CONTROL!$C$15, $D$11, 100%, $F$11)</f>
        <v>5.0861000000000001</v>
      </c>
      <c r="E90" s="12">
        <f>CHOOSE( CONTROL!$C$32, 5.0934, 5.0924) * CHOOSE( CONTROL!$C$15, $D$11, 100%, $F$11)</f>
        <v>5.0933999999999999</v>
      </c>
      <c r="F90" s="4">
        <f>CHOOSE( CONTROL!$C$32, 5.7678, 5.7667) * CHOOSE(CONTROL!$C$15, $D$11, 100%, $F$11)</f>
        <v>5.7678000000000003</v>
      </c>
      <c r="G90" s="8">
        <f>CHOOSE( CONTROL!$C$32, 5.0448, 5.0437) * CHOOSE( CONTROL!$C$15, $D$11, 100%, $F$11)</f>
        <v>5.0448000000000004</v>
      </c>
      <c r="H90" s="4">
        <f>CHOOSE( CONTROL!$C$32, 5.9469, 5.9458) * CHOOSE(CONTROL!$C$15, $D$11, 100%, $F$11)</f>
        <v>5.9469000000000003</v>
      </c>
      <c r="I90" s="8">
        <f>CHOOSE( CONTROL!$C$32, 5.0926, 5.0916) * CHOOSE(CONTROL!$C$15, $D$11, 100%, $F$11)</f>
        <v>5.0926</v>
      </c>
      <c r="J90" s="4">
        <f>CHOOSE( CONTROL!$C$32, 4.9432, 4.9422) * CHOOSE(CONTROL!$C$15, $D$11, 100%, $F$11)</f>
        <v>4.9432</v>
      </c>
      <c r="K90" s="4"/>
      <c r="L90" s="9">
        <v>27.415299999999998</v>
      </c>
      <c r="M90" s="9">
        <v>11.285299999999999</v>
      </c>
      <c r="N90" s="9">
        <v>4.6254999999999997</v>
      </c>
      <c r="O90" s="9">
        <v>0.34989999999999999</v>
      </c>
      <c r="P90" s="9">
        <v>1.2093</v>
      </c>
      <c r="Q90" s="9">
        <v>20.7211</v>
      </c>
      <c r="R90" s="9"/>
      <c r="S90" s="11"/>
    </row>
    <row r="91" spans="1:19" ht="15.75">
      <c r="A91" s="13">
        <v>43891</v>
      </c>
      <c r="B91" s="8">
        <f>CHOOSE( CONTROL!$C$32, 4.9941, 4.993) * CHOOSE(CONTROL!$C$15, $D$11, 100%, $F$11)</f>
        <v>4.9941000000000004</v>
      </c>
      <c r="C91" s="8">
        <f>CHOOSE( CONTROL!$C$32, 4.9992, 4.9981) * CHOOSE(CONTROL!$C$15, $D$11, 100%, $F$11)</f>
        <v>4.9992000000000001</v>
      </c>
      <c r="D91" s="8">
        <f>CHOOSE( CONTROL!$C$32, 4.9771, 4.976) * CHOOSE( CONTROL!$C$15, $D$11, 100%, $F$11)</f>
        <v>4.9771000000000001</v>
      </c>
      <c r="E91" s="12">
        <f>CHOOSE( CONTROL!$C$32, 4.9846, 4.9835) * CHOOSE( CONTROL!$C$15, $D$11, 100%, $F$11)</f>
        <v>4.9846000000000004</v>
      </c>
      <c r="F91" s="4">
        <f>CHOOSE( CONTROL!$C$32, 5.6594, 5.6583) * CHOOSE(CONTROL!$C$15, $D$11, 100%, $F$11)</f>
        <v>5.6593999999999998</v>
      </c>
      <c r="G91" s="8">
        <f>CHOOSE( CONTROL!$C$32, 4.9372, 4.9361) * CHOOSE( CONTROL!$C$15, $D$11, 100%, $F$11)</f>
        <v>4.9371999999999998</v>
      </c>
      <c r="H91" s="4">
        <f>CHOOSE( CONTROL!$C$32, 5.8397, 5.8387) * CHOOSE(CONTROL!$C$15, $D$11, 100%, $F$11)</f>
        <v>5.8396999999999997</v>
      </c>
      <c r="I91" s="8">
        <f>CHOOSE( CONTROL!$C$32, 4.9854, 4.9843) * CHOOSE(CONTROL!$C$15, $D$11, 100%, $F$11)</f>
        <v>4.9854000000000003</v>
      </c>
      <c r="J91" s="4">
        <f>CHOOSE( CONTROL!$C$32, 4.838, 4.8369) * CHOOSE(CONTROL!$C$15, $D$11, 100%, $F$11)</f>
        <v>4.8380000000000001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22.150099999999998</v>
      </c>
      <c r="R91" s="9"/>
      <c r="S91" s="11"/>
    </row>
    <row r="92" spans="1:19" ht="15.75">
      <c r="A92" s="13">
        <v>43922</v>
      </c>
      <c r="B92" s="8">
        <f>CHOOSE( CONTROL!$C$32, 5.0706, 5.0695) * CHOOSE(CONTROL!$C$15, $D$11, 100%, $F$11)</f>
        <v>5.0705999999999998</v>
      </c>
      <c r="C92" s="8">
        <f>CHOOSE( CONTROL!$C$32, 5.0751, 5.074) * CHOOSE(CONTROL!$C$15, $D$11, 100%, $F$11)</f>
        <v>5.0750999999999999</v>
      </c>
      <c r="D92" s="8">
        <f>CHOOSE( CONTROL!$C$32, 5.0779, 5.0769) * CHOOSE( CONTROL!$C$15, $D$11, 100%, $F$11)</f>
        <v>5.0778999999999996</v>
      </c>
      <c r="E92" s="12">
        <f>CHOOSE( CONTROL!$C$32, 5.0765, 5.0754) * CHOOSE( CONTROL!$C$15, $D$11, 100%, $F$11)</f>
        <v>5.0765000000000002</v>
      </c>
      <c r="F92" s="4">
        <f>CHOOSE( CONTROL!$C$32, 5.7789, 5.7778) * CHOOSE(CONTROL!$C$15, $D$11, 100%, $F$11)</f>
        <v>5.7789000000000001</v>
      </c>
      <c r="G92" s="8">
        <f>CHOOSE( CONTROL!$C$32, 5.0225, 5.0214) * CHOOSE( CONTROL!$C$15, $D$11, 100%, $F$11)</f>
        <v>5.0225</v>
      </c>
      <c r="H92" s="4">
        <f>CHOOSE( CONTROL!$C$32, 5.9579, 5.9568) * CHOOSE(CONTROL!$C$15, $D$11, 100%, $F$11)</f>
        <v>5.9579000000000004</v>
      </c>
      <c r="I92" s="8">
        <f>CHOOSE( CONTROL!$C$32, 5.0312, 5.0301) * CHOOSE(CONTROL!$C$15, $D$11, 100%, $F$11)</f>
        <v>5.0312000000000001</v>
      </c>
      <c r="J92" s="4">
        <f>CHOOSE( CONTROL!$C$32, 4.9115, 4.9105) * CHOOSE(CONTROL!$C$15, $D$11, 100%, $F$11)</f>
        <v>4.9115000000000002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1.2509999999999999</v>
      </c>
      <c r="Q92" s="9">
        <v>21.435600000000001</v>
      </c>
      <c r="R92" s="9"/>
      <c r="S92" s="11"/>
    </row>
    <row r="93" spans="1:19" ht="15.75">
      <c r="A93" s="13">
        <v>43952</v>
      </c>
      <c r="B93" s="8">
        <f>CHOOSE( CONTROL!$C$32, 5.2074, 5.2057) * CHOOSE(CONTROL!$C$15, $D$11, 100%, $F$11)</f>
        <v>5.2073999999999998</v>
      </c>
      <c r="C93" s="8">
        <f>CHOOSE( CONTROL!$C$32, 5.2153, 5.2137) * CHOOSE(CONTROL!$C$15, $D$11, 100%, $F$11)</f>
        <v>5.2153</v>
      </c>
      <c r="D93" s="8">
        <f>CHOOSE( CONTROL!$C$32, 5.2121, 5.2104) * CHOOSE( CONTROL!$C$15, $D$11, 100%, $F$11)</f>
        <v>5.2121000000000004</v>
      </c>
      <c r="E93" s="12">
        <f>CHOOSE( CONTROL!$C$32, 5.2121, 5.2104) * CHOOSE( CONTROL!$C$15, $D$11, 100%, $F$11)</f>
        <v>5.2121000000000004</v>
      </c>
      <c r="F93" s="4">
        <f>CHOOSE( CONTROL!$C$32, 5.9143, 5.9126) * CHOOSE(CONTROL!$C$15, $D$11, 100%, $F$11)</f>
        <v>5.9142999999999999</v>
      </c>
      <c r="G93" s="8">
        <f>CHOOSE( CONTROL!$C$32, 5.1562, 5.1545) * CHOOSE( CONTROL!$C$15, $D$11, 100%, $F$11)</f>
        <v>5.1562000000000001</v>
      </c>
      <c r="H93" s="4">
        <f>CHOOSE( CONTROL!$C$32, 6.0917, 6.09) * CHOOSE(CONTROL!$C$15, $D$11, 100%, $F$11)</f>
        <v>6.0917000000000003</v>
      </c>
      <c r="I93" s="8">
        <f>CHOOSE( CONTROL!$C$32, 5.1619, 5.1603) * CHOOSE(CONTROL!$C$15, $D$11, 100%, $F$11)</f>
        <v>5.1619000000000002</v>
      </c>
      <c r="J93" s="4">
        <f>CHOOSE( CONTROL!$C$32, 5.0429, 5.0413) * CHOOSE(CONTROL!$C$15, $D$11, 100%, $F$11)</f>
        <v>5.0429000000000004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1.2927</v>
      </c>
      <c r="Q93" s="9">
        <v>33.225200000000001</v>
      </c>
      <c r="R93" s="9"/>
      <c r="S93" s="11"/>
    </row>
    <row r="94" spans="1:19" ht="15.75">
      <c r="A94" s="13">
        <v>43983</v>
      </c>
      <c r="B94" s="8">
        <f>CHOOSE( CONTROL!$C$32, 5.1238, 5.1222) * CHOOSE(CONTROL!$C$15, $D$11, 100%, $F$11)</f>
        <v>5.1238000000000001</v>
      </c>
      <c r="C94" s="8">
        <f>CHOOSE( CONTROL!$C$32, 5.1318, 5.1302) * CHOOSE(CONTROL!$C$15, $D$11, 100%, $F$11)</f>
        <v>5.1318000000000001</v>
      </c>
      <c r="D94" s="8">
        <f>CHOOSE( CONTROL!$C$32, 5.1288, 5.1271) * CHOOSE( CONTROL!$C$15, $D$11, 100%, $F$11)</f>
        <v>5.1288</v>
      </c>
      <c r="E94" s="12">
        <f>CHOOSE( CONTROL!$C$32, 5.1287, 5.127) * CHOOSE( CONTROL!$C$15, $D$11, 100%, $F$11)</f>
        <v>5.1287000000000003</v>
      </c>
      <c r="F94" s="4">
        <f>CHOOSE( CONTROL!$C$32, 5.8308, 5.8291) * CHOOSE(CONTROL!$C$15, $D$11, 100%, $F$11)</f>
        <v>5.8308</v>
      </c>
      <c r="G94" s="8">
        <f>CHOOSE( CONTROL!$C$32, 5.0738, 5.0722) * CHOOSE( CONTROL!$C$15, $D$11, 100%, $F$11)</f>
        <v>5.0738000000000003</v>
      </c>
      <c r="H94" s="4">
        <f>CHOOSE( CONTROL!$C$32, 6.0091, 6.0075) * CHOOSE(CONTROL!$C$15, $D$11, 100%, $F$11)</f>
        <v>6.0091000000000001</v>
      </c>
      <c r="I94" s="8">
        <f>CHOOSE( CONTROL!$C$32, 5.0816, 5.08) * CHOOSE(CONTROL!$C$15, $D$11, 100%, $F$11)</f>
        <v>5.0815999999999999</v>
      </c>
      <c r="J94" s="4">
        <f>CHOOSE( CONTROL!$C$32, 4.9619, 4.9603) * CHOOSE(CONTROL!$C$15, $D$11, 100%, $F$11)</f>
        <v>4.9619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1.2509999999999999</v>
      </c>
      <c r="Q94" s="9">
        <v>32.153399999999998</v>
      </c>
      <c r="R94" s="9"/>
      <c r="S94" s="11"/>
    </row>
    <row r="95" spans="1:19" ht="15.75">
      <c r="A95" s="13">
        <v>44013</v>
      </c>
      <c r="B95" s="8">
        <f>CHOOSE( CONTROL!$C$32, 5.3438, 5.3421) * CHOOSE(CONTROL!$C$15, $D$11, 100%, $F$11)</f>
        <v>5.3437999999999999</v>
      </c>
      <c r="C95" s="8">
        <f>CHOOSE( CONTROL!$C$32, 5.3517, 5.3501) * CHOOSE(CONTROL!$C$15, $D$11, 100%, $F$11)</f>
        <v>5.3517000000000001</v>
      </c>
      <c r="D95" s="8">
        <f>CHOOSE( CONTROL!$C$32, 5.3489, 5.3473) * CHOOSE( CONTROL!$C$15, $D$11, 100%, $F$11)</f>
        <v>5.3489000000000004</v>
      </c>
      <c r="E95" s="12">
        <f>CHOOSE( CONTROL!$C$32, 5.3487, 5.3471) * CHOOSE( CONTROL!$C$15, $D$11, 100%, $F$11)</f>
        <v>5.3487</v>
      </c>
      <c r="F95" s="4">
        <f>CHOOSE( CONTROL!$C$32, 6.0507, 6.0491) * CHOOSE(CONTROL!$C$15, $D$11, 100%, $F$11)</f>
        <v>6.0507</v>
      </c>
      <c r="G95" s="8">
        <f>CHOOSE( CONTROL!$C$32, 5.2914, 5.2897) * CHOOSE( CONTROL!$C$15, $D$11, 100%, $F$11)</f>
        <v>5.2914000000000003</v>
      </c>
      <c r="H95" s="4">
        <f>CHOOSE( CONTROL!$C$32, 6.2265, 6.2249) * CHOOSE(CONTROL!$C$15, $D$11, 100%, $F$11)</f>
        <v>6.2264999999999997</v>
      </c>
      <c r="I95" s="8">
        <f>CHOOSE( CONTROL!$C$32, 5.296, 5.2944) * CHOOSE(CONTROL!$C$15, $D$11, 100%, $F$11)</f>
        <v>5.2960000000000003</v>
      </c>
      <c r="J95" s="4">
        <f>CHOOSE( CONTROL!$C$32, 5.1753, 5.1737) * CHOOSE(CONTROL!$C$15, $D$11, 100%, $F$11)</f>
        <v>5.1753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1.2927</v>
      </c>
      <c r="Q95" s="9">
        <v>33.225200000000001</v>
      </c>
      <c r="R95" s="9"/>
      <c r="S95" s="11"/>
    </row>
    <row r="96" spans="1:19" ht="15.75">
      <c r="A96" s="13">
        <v>44044</v>
      </c>
      <c r="B96" s="8">
        <f>CHOOSE( CONTROL!$C$32, 4.9323, 4.9306) * CHOOSE(CONTROL!$C$15, $D$11, 100%, $F$11)</f>
        <v>4.9322999999999997</v>
      </c>
      <c r="C96" s="8">
        <f>CHOOSE( CONTROL!$C$32, 4.9402, 4.9386) * CHOOSE(CONTROL!$C$15, $D$11, 100%, $F$11)</f>
        <v>4.9401999999999999</v>
      </c>
      <c r="D96" s="8">
        <f>CHOOSE( CONTROL!$C$32, 4.9375, 4.9359) * CHOOSE( CONTROL!$C$15, $D$11, 100%, $F$11)</f>
        <v>4.9375</v>
      </c>
      <c r="E96" s="12">
        <f>CHOOSE( CONTROL!$C$32, 4.9373, 4.9357) * CHOOSE( CONTROL!$C$15, $D$11, 100%, $F$11)</f>
        <v>4.9372999999999996</v>
      </c>
      <c r="F96" s="4">
        <f>CHOOSE( CONTROL!$C$32, 5.6392, 5.6375) * CHOOSE(CONTROL!$C$15, $D$11, 100%, $F$11)</f>
        <v>5.6391999999999998</v>
      </c>
      <c r="G96" s="8">
        <f>CHOOSE( CONTROL!$C$32, 4.8848, 4.8831) * CHOOSE( CONTROL!$C$15, $D$11, 100%, $F$11)</f>
        <v>4.8848000000000003</v>
      </c>
      <c r="H96" s="4">
        <f>CHOOSE( CONTROL!$C$32, 5.8198, 5.8182) * CHOOSE(CONTROL!$C$15, $D$11, 100%, $F$11)</f>
        <v>5.8197999999999999</v>
      </c>
      <c r="I96" s="8">
        <f>CHOOSE( CONTROL!$C$32, 4.8968, 4.8951) * CHOOSE(CONTROL!$C$15, $D$11, 100%, $F$11)</f>
        <v>4.8967999999999998</v>
      </c>
      <c r="J96" s="4">
        <f>CHOOSE( CONTROL!$C$32, 4.7759, 4.7743) * CHOOSE(CONTROL!$C$15, $D$11, 100%, $F$11)</f>
        <v>4.7759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1.2927</v>
      </c>
      <c r="Q96" s="9">
        <v>33.225200000000001</v>
      </c>
      <c r="R96" s="9"/>
      <c r="S96" s="11"/>
    </row>
    <row r="97" spans="1:19" ht="15.75">
      <c r="A97" s="13">
        <v>44075</v>
      </c>
      <c r="B97" s="8">
        <f>CHOOSE( CONTROL!$C$32, 4.8292, 4.8276) * CHOOSE(CONTROL!$C$15, $D$11, 100%, $F$11)</f>
        <v>4.8292000000000002</v>
      </c>
      <c r="C97" s="8">
        <f>CHOOSE( CONTROL!$C$32, 4.8372, 4.8355) * CHOOSE(CONTROL!$C$15, $D$11, 100%, $F$11)</f>
        <v>4.8372000000000002</v>
      </c>
      <c r="D97" s="8">
        <f>CHOOSE( CONTROL!$C$32, 4.8344, 4.8328) * CHOOSE( CONTROL!$C$15, $D$11, 100%, $F$11)</f>
        <v>4.8343999999999996</v>
      </c>
      <c r="E97" s="12">
        <f>CHOOSE( CONTROL!$C$32, 4.8342, 4.8326) * CHOOSE( CONTROL!$C$15, $D$11, 100%, $F$11)</f>
        <v>4.8342000000000001</v>
      </c>
      <c r="F97" s="4">
        <f>CHOOSE( CONTROL!$C$32, 5.5362, 5.5345) * CHOOSE(CONTROL!$C$15, $D$11, 100%, $F$11)</f>
        <v>5.5362</v>
      </c>
      <c r="G97" s="8">
        <f>CHOOSE( CONTROL!$C$32, 4.7829, 4.7812) * CHOOSE( CONTROL!$C$15, $D$11, 100%, $F$11)</f>
        <v>4.7828999999999997</v>
      </c>
      <c r="H97" s="4">
        <f>CHOOSE( CONTROL!$C$32, 5.718, 5.7163) * CHOOSE(CONTROL!$C$15, $D$11, 100%, $F$11)</f>
        <v>5.718</v>
      </c>
      <c r="I97" s="8">
        <f>CHOOSE( CONTROL!$C$32, 4.7965, 4.7949) * CHOOSE(CONTROL!$C$15, $D$11, 100%, $F$11)</f>
        <v>4.7965</v>
      </c>
      <c r="J97" s="4">
        <f>CHOOSE( CONTROL!$C$32, 4.6759, 4.6743) * CHOOSE(CONTROL!$C$15, $D$11, 100%, $F$11)</f>
        <v>4.6759000000000004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1.2509999999999999</v>
      </c>
      <c r="Q97" s="9">
        <v>32.153399999999998</v>
      </c>
      <c r="R97" s="9"/>
      <c r="S97" s="11"/>
    </row>
    <row r="98" spans="1:19" ht="15.75">
      <c r="A98" s="13">
        <v>44105</v>
      </c>
      <c r="B98" s="8">
        <f>CHOOSE( CONTROL!$C$32, 5.0409, 5.0398) * CHOOSE(CONTROL!$C$15, $D$11, 100%, $F$11)</f>
        <v>5.0408999999999997</v>
      </c>
      <c r="C98" s="8">
        <f>CHOOSE( CONTROL!$C$32, 5.0462, 5.0451) * CHOOSE(CONTROL!$C$15, $D$11, 100%, $F$11)</f>
        <v>5.0461999999999998</v>
      </c>
      <c r="D98" s="8">
        <f>CHOOSE( CONTROL!$C$32, 5.0491, 5.048) * CHOOSE( CONTROL!$C$15, $D$11, 100%, $F$11)</f>
        <v>5.0491000000000001</v>
      </c>
      <c r="E98" s="12">
        <f>CHOOSE( CONTROL!$C$32, 5.0476, 5.0465) * CHOOSE( CONTROL!$C$15, $D$11, 100%, $F$11)</f>
        <v>5.0476000000000001</v>
      </c>
      <c r="F98" s="4">
        <f>CHOOSE( CONTROL!$C$32, 5.7495, 5.7485) * CHOOSE(CONTROL!$C$15, $D$11, 100%, $F$11)</f>
        <v>5.7495000000000003</v>
      </c>
      <c r="G98" s="8">
        <f>CHOOSE( CONTROL!$C$32, 4.9939, 4.9928) * CHOOSE( CONTROL!$C$15, $D$11, 100%, $F$11)</f>
        <v>4.9939</v>
      </c>
      <c r="H98" s="4">
        <f>CHOOSE( CONTROL!$C$32, 5.9288, 5.9278) * CHOOSE(CONTROL!$C$15, $D$11, 100%, $F$11)</f>
        <v>5.9287999999999998</v>
      </c>
      <c r="I98" s="8">
        <f>CHOOSE( CONTROL!$C$32, 5.0045, 5.0035) * CHOOSE(CONTROL!$C$15, $D$11, 100%, $F$11)</f>
        <v>5.0045000000000002</v>
      </c>
      <c r="J98" s="4">
        <f>CHOOSE( CONTROL!$C$32, 4.883, 4.882) * CHOOSE(CONTROL!$C$15, $D$11, 100%, $F$11)</f>
        <v>4.883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1.2927</v>
      </c>
      <c r="Q98" s="9">
        <v>33.225200000000001</v>
      </c>
      <c r="R98" s="9"/>
      <c r="S98" s="11"/>
    </row>
    <row r="99" spans="1:19" ht="15.75">
      <c r="A99" s="13">
        <v>44136</v>
      </c>
      <c r="B99" s="8">
        <f>CHOOSE( CONTROL!$C$32, 5.4354, 5.4343) * CHOOSE(CONTROL!$C$15, $D$11, 100%, $F$11)</f>
        <v>5.4353999999999996</v>
      </c>
      <c r="C99" s="8">
        <f>CHOOSE( CONTROL!$C$32, 5.4405, 5.4394) * CHOOSE(CONTROL!$C$15, $D$11, 100%, $F$11)</f>
        <v>5.4405000000000001</v>
      </c>
      <c r="D99" s="8">
        <f>CHOOSE( CONTROL!$C$32, 5.4226, 5.4216) * CHOOSE( CONTROL!$C$15, $D$11, 100%, $F$11)</f>
        <v>5.4226000000000001</v>
      </c>
      <c r="E99" s="12">
        <f>CHOOSE( CONTROL!$C$32, 5.4286, 5.4276) * CHOOSE( CONTROL!$C$15, $D$11, 100%, $F$11)</f>
        <v>5.4286000000000003</v>
      </c>
      <c r="F99" s="4">
        <f>CHOOSE( CONTROL!$C$32, 6.1007, 6.0996) * CHOOSE(CONTROL!$C$15, $D$11, 100%, $F$11)</f>
        <v>6.1006999999999998</v>
      </c>
      <c r="G99" s="8">
        <f>CHOOSE( CONTROL!$C$32, 5.3833, 5.3822) * CHOOSE( CONTROL!$C$15, $D$11, 100%, $F$11)</f>
        <v>5.3833000000000002</v>
      </c>
      <c r="H99" s="4">
        <f>CHOOSE( CONTROL!$C$32, 6.2759, 6.2748) * CHOOSE(CONTROL!$C$15, $D$11, 100%, $F$11)</f>
        <v>6.2759</v>
      </c>
      <c r="I99" s="8">
        <f>CHOOSE( CONTROL!$C$32, 5.4498, 5.4487) * CHOOSE(CONTROL!$C$15, $D$11, 100%, $F$11)</f>
        <v>5.4497999999999998</v>
      </c>
      <c r="J99" s="4">
        <f>CHOOSE( CONTROL!$C$32, 5.2663, 5.2652) * CHOOSE(CONTROL!$C$15, $D$11, 100%, $F$11)</f>
        <v>5.2663000000000002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32.153399999999998</v>
      </c>
      <c r="R99" s="9"/>
      <c r="S99" s="11"/>
    </row>
    <row r="100" spans="1:19" ht="15.75">
      <c r="A100" s="13">
        <v>44166</v>
      </c>
      <c r="B100" s="8">
        <f>CHOOSE( CONTROL!$C$32, 5.4255, 5.4244) * CHOOSE(CONTROL!$C$15, $D$11, 100%, $F$11)</f>
        <v>5.4255000000000004</v>
      </c>
      <c r="C100" s="8">
        <f>CHOOSE( CONTROL!$C$32, 5.4306, 5.4295) * CHOOSE(CONTROL!$C$15, $D$11, 100%, $F$11)</f>
        <v>5.4306000000000001</v>
      </c>
      <c r="D100" s="8">
        <f>CHOOSE( CONTROL!$C$32, 5.4142, 5.4131) * CHOOSE( CONTROL!$C$15, $D$11, 100%, $F$11)</f>
        <v>5.4142000000000001</v>
      </c>
      <c r="E100" s="12">
        <f>CHOOSE( CONTROL!$C$32, 5.4197, 5.4186) * CHOOSE( CONTROL!$C$15, $D$11, 100%, $F$11)</f>
        <v>5.4196999999999997</v>
      </c>
      <c r="F100" s="4">
        <f>CHOOSE( CONTROL!$C$32, 6.0908, 6.0897) * CHOOSE(CONTROL!$C$15, $D$11, 100%, $F$11)</f>
        <v>6.0907999999999998</v>
      </c>
      <c r="G100" s="8">
        <f>CHOOSE( CONTROL!$C$32, 5.3746, 5.3735) * CHOOSE( CONTROL!$C$15, $D$11, 100%, $F$11)</f>
        <v>5.3746</v>
      </c>
      <c r="H100" s="4">
        <f>CHOOSE( CONTROL!$C$32, 6.2661, 6.2651) * CHOOSE(CONTROL!$C$15, $D$11, 100%, $F$11)</f>
        <v>6.2660999999999998</v>
      </c>
      <c r="I100" s="8">
        <f>CHOOSE( CONTROL!$C$32, 5.4446, 5.4436) * CHOOSE(CONTROL!$C$15, $D$11, 100%, $F$11)</f>
        <v>5.4446000000000003</v>
      </c>
      <c r="J100" s="4">
        <f>CHOOSE( CONTROL!$C$32, 5.2567, 5.2557) * CHOOSE(CONTROL!$C$15, $D$11, 100%, $F$11)</f>
        <v>5.2567000000000004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33.225200000000001</v>
      </c>
      <c r="R100" s="9"/>
      <c r="S100" s="11"/>
    </row>
    <row r="101" spans="1:19" ht="15.75">
      <c r="A101" s="13">
        <v>44197</v>
      </c>
      <c r="B101" s="8">
        <f>CHOOSE( CONTROL!$C$32, 5.8791, 5.878) * CHOOSE(CONTROL!$C$15, $D$11, 100%, $F$11)</f>
        <v>5.8791000000000002</v>
      </c>
      <c r="C101" s="8">
        <f>CHOOSE( CONTROL!$C$32, 5.8842, 5.8831) * CHOOSE(CONTROL!$C$15, $D$11, 100%, $F$11)</f>
        <v>5.8841999999999999</v>
      </c>
      <c r="D101" s="8">
        <f>CHOOSE( CONTROL!$C$32, 5.8629, 5.8618) * CHOOSE( CONTROL!$C$15, $D$11, 100%, $F$11)</f>
        <v>5.8628999999999998</v>
      </c>
      <c r="E101" s="12">
        <f>CHOOSE( CONTROL!$C$32, 5.8701, 5.869) * CHOOSE( CONTROL!$C$15, $D$11, 100%, $F$11)</f>
        <v>5.8700999999999999</v>
      </c>
      <c r="F101" s="4">
        <f>CHOOSE( CONTROL!$C$32, 6.5444, 6.5433) * CHOOSE(CONTROL!$C$15, $D$11, 100%, $F$11)</f>
        <v>6.5444000000000004</v>
      </c>
      <c r="G101" s="8">
        <f>CHOOSE( CONTROL!$C$32, 5.8124, 5.8113) * CHOOSE( CONTROL!$C$15, $D$11, 100%, $F$11)</f>
        <v>5.8124000000000002</v>
      </c>
      <c r="H101" s="4">
        <f>CHOOSE( CONTROL!$C$32, 6.7144, 6.7133) * CHOOSE(CONTROL!$C$15, $D$11, 100%, $F$11)</f>
        <v>6.7144000000000004</v>
      </c>
      <c r="I101" s="8">
        <f>CHOOSE( CONTROL!$C$32, 5.8471, 5.8461) * CHOOSE(CONTROL!$C$15, $D$11, 100%, $F$11)</f>
        <v>5.8471000000000002</v>
      </c>
      <c r="J101" s="4">
        <f>CHOOSE( CONTROL!$C$32, 5.6969, 5.6959) * CHOOSE(CONTROL!$C$15, $D$11, 100%, $F$11)</f>
        <v>5.6969000000000003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33.011299999999999</v>
      </c>
      <c r="R101" s="9"/>
      <c r="S101" s="11"/>
    </row>
    <row r="102" spans="1:19" ht="15.75">
      <c r="A102" s="13">
        <v>44228</v>
      </c>
      <c r="B102" s="8">
        <f>CHOOSE( CONTROL!$C$32, 5.4997, 5.4986) * CHOOSE(CONTROL!$C$15, $D$11, 100%, $F$11)</f>
        <v>5.4996999999999998</v>
      </c>
      <c r="C102" s="8">
        <f>CHOOSE( CONTROL!$C$32, 5.5048, 5.5037) * CHOOSE(CONTROL!$C$15, $D$11, 100%, $F$11)</f>
        <v>5.5048000000000004</v>
      </c>
      <c r="D102" s="8">
        <f>CHOOSE( CONTROL!$C$32, 5.4833, 5.4823) * CHOOSE( CONTROL!$C$15, $D$11, 100%, $F$11)</f>
        <v>5.4832999999999998</v>
      </c>
      <c r="E102" s="12">
        <f>CHOOSE( CONTROL!$C$32, 5.4906, 5.4896) * CHOOSE( CONTROL!$C$15, $D$11, 100%, $F$11)</f>
        <v>5.4905999999999997</v>
      </c>
      <c r="F102" s="4">
        <f>CHOOSE( CONTROL!$C$32, 6.165, 6.1639) * CHOOSE(CONTROL!$C$15, $D$11, 100%, $F$11)</f>
        <v>6.165</v>
      </c>
      <c r="G102" s="8">
        <f>CHOOSE( CONTROL!$C$32, 5.4373, 5.4362) * CHOOSE( CONTROL!$C$15, $D$11, 100%, $F$11)</f>
        <v>5.4372999999999996</v>
      </c>
      <c r="H102" s="4">
        <f>CHOOSE( CONTROL!$C$32, 6.3394, 6.3383) * CHOOSE(CONTROL!$C$15, $D$11, 100%, $F$11)</f>
        <v>6.3394000000000004</v>
      </c>
      <c r="I102" s="8">
        <f>CHOOSE( CONTROL!$C$32, 5.4783, 5.4772) * CHOOSE(CONTROL!$C$15, $D$11, 100%, $F$11)</f>
        <v>5.4782999999999999</v>
      </c>
      <c r="J102" s="4">
        <f>CHOOSE( CONTROL!$C$32, 5.3287, 5.3276) * CHOOSE(CONTROL!$C$15, $D$11, 100%, $F$11)</f>
        <v>5.3287000000000004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29.816600000000001</v>
      </c>
      <c r="R102" s="9"/>
      <c r="S102" s="11"/>
    </row>
    <row r="103" spans="1:19" ht="15.75">
      <c r="A103" s="13">
        <v>44256</v>
      </c>
      <c r="B103" s="8">
        <f>CHOOSE( CONTROL!$C$32, 5.3828, 5.3817) * CHOOSE(CONTROL!$C$15, $D$11, 100%, $F$11)</f>
        <v>5.3827999999999996</v>
      </c>
      <c r="C103" s="8">
        <f>CHOOSE( CONTROL!$C$32, 5.3879, 5.3868) * CHOOSE(CONTROL!$C$15, $D$11, 100%, $F$11)</f>
        <v>5.3879000000000001</v>
      </c>
      <c r="D103" s="8">
        <f>CHOOSE( CONTROL!$C$32, 5.3658, 5.3648) * CHOOSE( CONTROL!$C$15, $D$11, 100%, $F$11)</f>
        <v>5.3658000000000001</v>
      </c>
      <c r="E103" s="12">
        <f>CHOOSE( CONTROL!$C$32, 5.3733, 5.3723) * CHOOSE( CONTROL!$C$15, $D$11, 100%, $F$11)</f>
        <v>5.3733000000000004</v>
      </c>
      <c r="F103" s="4">
        <f>CHOOSE( CONTROL!$C$32, 6.0481, 6.047) * CHOOSE(CONTROL!$C$15, $D$11, 100%, $F$11)</f>
        <v>6.0480999999999998</v>
      </c>
      <c r="G103" s="8">
        <f>CHOOSE( CONTROL!$C$32, 5.3214, 5.3203) * CHOOSE( CONTROL!$C$15, $D$11, 100%, $F$11)</f>
        <v>5.3213999999999997</v>
      </c>
      <c r="H103" s="4">
        <f>CHOOSE( CONTROL!$C$32, 6.2239, 6.2229) * CHOOSE(CONTROL!$C$15, $D$11, 100%, $F$11)</f>
        <v>6.2239000000000004</v>
      </c>
      <c r="I103" s="8">
        <f>CHOOSE( CONTROL!$C$32, 5.3628, 5.3618) * CHOOSE(CONTROL!$C$15, $D$11, 100%, $F$11)</f>
        <v>5.3628</v>
      </c>
      <c r="J103" s="4">
        <f>CHOOSE( CONTROL!$C$32, 5.2153, 5.2142) * CHOOSE(CONTROL!$C$15, $D$11, 100%, $F$11)</f>
        <v>5.2153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33.011299999999999</v>
      </c>
      <c r="R103" s="9"/>
      <c r="S103" s="11"/>
    </row>
    <row r="104" spans="1:19" ht="15.75">
      <c r="A104" s="13">
        <v>44287</v>
      </c>
      <c r="B104" s="8">
        <f>CHOOSE( CONTROL!$C$32, 5.4653, 5.4642) * CHOOSE(CONTROL!$C$15, $D$11, 100%, $F$11)</f>
        <v>5.4653</v>
      </c>
      <c r="C104" s="8">
        <f>CHOOSE( CONTROL!$C$32, 5.4698, 5.4687) * CHOOSE(CONTROL!$C$15, $D$11, 100%, $F$11)</f>
        <v>5.4698000000000002</v>
      </c>
      <c r="D104" s="8">
        <f>CHOOSE( CONTROL!$C$32, 5.4726, 5.4715) * CHOOSE( CONTROL!$C$15, $D$11, 100%, $F$11)</f>
        <v>5.4725999999999999</v>
      </c>
      <c r="E104" s="12">
        <f>CHOOSE( CONTROL!$C$32, 5.4712, 5.4701) * CHOOSE( CONTROL!$C$15, $D$11, 100%, $F$11)</f>
        <v>5.4711999999999996</v>
      </c>
      <c r="F104" s="4">
        <f>CHOOSE( CONTROL!$C$32, 6.1736, 6.1725) * CHOOSE(CONTROL!$C$15, $D$11, 100%, $F$11)</f>
        <v>6.1736000000000004</v>
      </c>
      <c r="G104" s="8">
        <f>CHOOSE( CONTROL!$C$32, 5.4125, 5.4115) * CHOOSE( CONTROL!$C$15, $D$11, 100%, $F$11)</f>
        <v>5.4124999999999996</v>
      </c>
      <c r="H104" s="4">
        <f>CHOOSE( CONTROL!$C$32, 6.3479, 6.3468) * CHOOSE(CONTROL!$C$15, $D$11, 100%, $F$11)</f>
        <v>6.3479000000000001</v>
      </c>
      <c r="I104" s="8">
        <f>CHOOSE( CONTROL!$C$32, 5.4144, 5.4133) * CHOOSE(CONTROL!$C$15, $D$11, 100%, $F$11)</f>
        <v>5.4143999999999997</v>
      </c>
      <c r="J104" s="4">
        <f>CHOOSE( CONTROL!$C$32, 5.2945, 5.2935) * CHOOSE(CONTROL!$C$15, $D$11, 100%, $F$11)</f>
        <v>5.2945000000000002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1.2509999999999999</v>
      </c>
      <c r="Q104" s="9">
        <v>31.946400000000001</v>
      </c>
      <c r="R104" s="9"/>
      <c r="S104" s="11"/>
    </row>
    <row r="105" spans="1:19" ht="15.75">
      <c r="A105" s="13">
        <v>44317</v>
      </c>
      <c r="B105" s="8">
        <f>CHOOSE( CONTROL!$C$32, 5.6125, 5.6109) * CHOOSE(CONTROL!$C$15, $D$11, 100%, $F$11)</f>
        <v>5.6124999999999998</v>
      </c>
      <c r="C105" s="8">
        <f>CHOOSE( CONTROL!$C$32, 5.6205, 5.6188) * CHOOSE(CONTROL!$C$15, $D$11, 100%, $F$11)</f>
        <v>5.6204999999999998</v>
      </c>
      <c r="D105" s="8">
        <f>CHOOSE( CONTROL!$C$32, 5.6172, 5.6156) * CHOOSE( CONTROL!$C$15, $D$11, 100%, $F$11)</f>
        <v>5.6172000000000004</v>
      </c>
      <c r="E105" s="12">
        <f>CHOOSE( CONTROL!$C$32, 5.6172, 5.6156) * CHOOSE( CONTROL!$C$15, $D$11, 100%, $F$11)</f>
        <v>5.6172000000000004</v>
      </c>
      <c r="F105" s="4">
        <f>CHOOSE( CONTROL!$C$32, 6.3195, 6.3178) * CHOOSE(CONTROL!$C$15, $D$11, 100%, $F$11)</f>
        <v>6.3194999999999997</v>
      </c>
      <c r="G105" s="8">
        <f>CHOOSE( CONTROL!$C$32, 5.5566, 5.555) * CHOOSE( CONTROL!$C$15, $D$11, 100%, $F$11)</f>
        <v>5.5566000000000004</v>
      </c>
      <c r="H105" s="4">
        <f>CHOOSE( CONTROL!$C$32, 6.4921, 6.4905) * CHOOSE(CONTROL!$C$15, $D$11, 100%, $F$11)</f>
        <v>6.4920999999999998</v>
      </c>
      <c r="I105" s="8">
        <f>CHOOSE( CONTROL!$C$32, 5.5553, 5.5537) * CHOOSE(CONTROL!$C$15, $D$11, 100%, $F$11)</f>
        <v>5.5552999999999999</v>
      </c>
      <c r="J105" s="4">
        <f>CHOOSE( CONTROL!$C$32, 5.4361, 5.4345) * CHOOSE(CONTROL!$C$15, $D$11, 100%, $F$11)</f>
        <v>5.4360999999999997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1.2927</v>
      </c>
      <c r="Q105" s="9">
        <v>33.011299999999999</v>
      </c>
      <c r="R105" s="9"/>
      <c r="S105" s="11"/>
    </row>
    <row r="106" spans="1:19" ht="15.75">
      <c r="A106" s="13">
        <v>44348</v>
      </c>
      <c r="B106" s="8">
        <f>CHOOSE( CONTROL!$C$32, 5.5225, 5.5208) * CHOOSE(CONTROL!$C$15, $D$11, 100%, $F$11)</f>
        <v>5.5225</v>
      </c>
      <c r="C106" s="8">
        <f>CHOOSE( CONTROL!$C$32, 5.5305, 5.5288) * CHOOSE(CONTROL!$C$15, $D$11, 100%, $F$11)</f>
        <v>5.5305</v>
      </c>
      <c r="D106" s="8">
        <f>CHOOSE( CONTROL!$C$32, 5.5274, 5.5258) * CHOOSE( CONTROL!$C$15, $D$11, 100%, $F$11)</f>
        <v>5.5274000000000001</v>
      </c>
      <c r="E106" s="12">
        <f>CHOOSE( CONTROL!$C$32, 5.5273, 5.5257) * CHOOSE( CONTROL!$C$15, $D$11, 100%, $F$11)</f>
        <v>5.5273000000000003</v>
      </c>
      <c r="F106" s="4">
        <f>CHOOSE( CONTROL!$C$32, 6.2294, 6.2278) * CHOOSE(CONTROL!$C$15, $D$11, 100%, $F$11)</f>
        <v>6.2294</v>
      </c>
      <c r="G106" s="8">
        <f>CHOOSE( CONTROL!$C$32, 5.4678, 5.4662) * CHOOSE( CONTROL!$C$15, $D$11, 100%, $F$11)</f>
        <v>5.4678000000000004</v>
      </c>
      <c r="H106" s="4">
        <f>CHOOSE( CONTROL!$C$32, 6.4031, 6.4015) * CHOOSE(CONTROL!$C$15, $D$11, 100%, $F$11)</f>
        <v>6.4031000000000002</v>
      </c>
      <c r="I106" s="8">
        <f>CHOOSE( CONTROL!$C$32, 5.4687, 5.4671) * CHOOSE(CONTROL!$C$15, $D$11, 100%, $F$11)</f>
        <v>5.4687000000000001</v>
      </c>
      <c r="J106" s="4">
        <f>CHOOSE( CONTROL!$C$32, 5.3488, 5.3472) * CHOOSE(CONTROL!$C$15, $D$11, 100%, $F$11)</f>
        <v>5.3487999999999998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1.2509999999999999</v>
      </c>
      <c r="Q106" s="9">
        <v>31.946400000000001</v>
      </c>
      <c r="R106" s="9"/>
      <c r="S106" s="11"/>
    </row>
    <row r="107" spans="1:19" ht="15.75">
      <c r="A107" s="13">
        <v>44378</v>
      </c>
      <c r="B107" s="8">
        <f>CHOOSE( CONTROL!$C$32, 5.7596, 5.7579) * CHOOSE(CONTROL!$C$15, $D$11, 100%, $F$11)</f>
        <v>5.7595999999999998</v>
      </c>
      <c r="C107" s="8">
        <f>CHOOSE( CONTROL!$C$32, 5.7676, 5.7659) * CHOOSE(CONTROL!$C$15, $D$11, 100%, $F$11)</f>
        <v>5.7675999999999998</v>
      </c>
      <c r="D107" s="8">
        <f>CHOOSE( CONTROL!$C$32, 5.7648, 5.7631) * CHOOSE( CONTROL!$C$15, $D$11, 100%, $F$11)</f>
        <v>5.7648000000000001</v>
      </c>
      <c r="E107" s="12">
        <f>CHOOSE( CONTROL!$C$32, 5.7646, 5.7629) * CHOOSE( CONTROL!$C$15, $D$11, 100%, $F$11)</f>
        <v>5.7645999999999997</v>
      </c>
      <c r="F107" s="4">
        <f>CHOOSE( CONTROL!$C$32, 6.4665, 6.4649) * CHOOSE(CONTROL!$C$15, $D$11, 100%, $F$11)</f>
        <v>6.4664999999999999</v>
      </c>
      <c r="G107" s="8">
        <f>CHOOSE( CONTROL!$C$32, 5.7023, 5.7007) * CHOOSE( CONTROL!$C$15, $D$11, 100%, $F$11)</f>
        <v>5.7023000000000001</v>
      </c>
      <c r="H107" s="4">
        <f>CHOOSE( CONTROL!$C$32, 6.6374, 6.6358) * CHOOSE(CONTROL!$C$15, $D$11, 100%, $F$11)</f>
        <v>6.6374000000000004</v>
      </c>
      <c r="I107" s="8">
        <f>CHOOSE( CONTROL!$C$32, 5.6997, 5.6981) * CHOOSE(CONTROL!$C$15, $D$11, 100%, $F$11)</f>
        <v>5.6997</v>
      </c>
      <c r="J107" s="4">
        <f>CHOOSE( CONTROL!$C$32, 5.5789, 5.5772) * CHOOSE(CONTROL!$C$15, $D$11, 100%, $F$11)</f>
        <v>5.5789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1.2927</v>
      </c>
      <c r="Q107" s="9">
        <v>33.011299999999999</v>
      </c>
      <c r="R107" s="9"/>
      <c r="S107" s="11"/>
    </row>
    <row r="108" spans="1:19" ht="15.75">
      <c r="A108" s="13">
        <v>44409</v>
      </c>
      <c r="B108" s="8">
        <f>CHOOSE( CONTROL!$C$32, 5.316, 5.3143) * CHOOSE(CONTROL!$C$15, $D$11, 100%, $F$11)</f>
        <v>5.3159999999999998</v>
      </c>
      <c r="C108" s="8">
        <f>CHOOSE( CONTROL!$C$32, 5.3239, 5.3223) * CHOOSE(CONTROL!$C$15, $D$11, 100%, $F$11)</f>
        <v>5.3239000000000001</v>
      </c>
      <c r="D108" s="8">
        <f>CHOOSE( CONTROL!$C$32, 5.3213, 5.3196) * CHOOSE( CONTROL!$C$15, $D$11, 100%, $F$11)</f>
        <v>5.3212999999999999</v>
      </c>
      <c r="E108" s="12">
        <f>CHOOSE( CONTROL!$C$32, 5.321, 5.3194) * CHOOSE( CONTROL!$C$15, $D$11, 100%, $F$11)</f>
        <v>5.3209999999999997</v>
      </c>
      <c r="F108" s="4">
        <f>CHOOSE( CONTROL!$C$32, 6.0229, 6.0213) * CHOOSE(CONTROL!$C$15, $D$11, 100%, $F$11)</f>
        <v>6.0228999999999999</v>
      </c>
      <c r="G108" s="8">
        <f>CHOOSE( CONTROL!$C$32, 5.264, 5.2623) * CHOOSE( CONTROL!$C$15, $D$11, 100%, $F$11)</f>
        <v>5.2640000000000002</v>
      </c>
      <c r="H108" s="4">
        <f>CHOOSE( CONTROL!$C$32, 6.199, 6.1974) * CHOOSE(CONTROL!$C$15, $D$11, 100%, $F$11)</f>
        <v>6.1989999999999998</v>
      </c>
      <c r="I108" s="8">
        <f>CHOOSE( CONTROL!$C$32, 5.2693, 5.2677) * CHOOSE(CONTROL!$C$15, $D$11, 100%, $F$11)</f>
        <v>5.2693000000000003</v>
      </c>
      <c r="J108" s="4">
        <f>CHOOSE( CONTROL!$C$32, 5.1483, 5.1467) * CHOOSE(CONTROL!$C$15, $D$11, 100%, $F$11)</f>
        <v>5.1482999999999999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1.2927</v>
      </c>
      <c r="Q108" s="9">
        <v>33.011299999999999</v>
      </c>
      <c r="R108" s="9"/>
      <c r="S108" s="11"/>
    </row>
    <row r="109" spans="1:19" ht="15.75">
      <c r="A109" s="13">
        <v>44440</v>
      </c>
      <c r="B109" s="8">
        <f>CHOOSE( CONTROL!$C$32, 5.2049, 5.2032) * CHOOSE(CONTROL!$C$15, $D$11, 100%, $F$11)</f>
        <v>5.2049000000000003</v>
      </c>
      <c r="C109" s="8">
        <f>CHOOSE( CONTROL!$C$32, 5.2129, 5.2112) * CHOOSE(CONTROL!$C$15, $D$11, 100%, $F$11)</f>
        <v>5.2129000000000003</v>
      </c>
      <c r="D109" s="8">
        <f>CHOOSE( CONTROL!$C$32, 5.2101, 5.2085) * CHOOSE( CONTROL!$C$15, $D$11, 100%, $F$11)</f>
        <v>5.2100999999999997</v>
      </c>
      <c r="E109" s="12">
        <f>CHOOSE( CONTROL!$C$32, 5.2099, 5.2083) * CHOOSE( CONTROL!$C$15, $D$11, 100%, $F$11)</f>
        <v>5.2099000000000002</v>
      </c>
      <c r="F109" s="4">
        <f>CHOOSE( CONTROL!$C$32, 5.9118, 5.9102) * CHOOSE(CONTROL!$C$15, $D$11, 100%, $F$11)</f>
        <v>5.9118000000000004</v>
      </c>
      <c r="G109" s="8">
        <f>CHOOSE( CONTROL!$C$32, 5.1542, 5.1525) * CHOOSE( CONTROL!$C$15, $D$11, 100%, $F$11)</f>
        <v>5.1542000000000003</v>
      </c>
      <c r="H109" s="4">
        <f>CHOOSE( CONTROL!$C$32, 6.0892, 6.0876) * CHOOSE(CONTROL!$C$15, $D$11, 100%, $F$11)</f>
        <v>6.0891999999999999</v>
      </c>
      <c r="I109" s="8">
        <f>CHOOSE( CONTROL!$C$32, 5.1613, 5.1597) * CHOOSE(CONTROL!$C$15, $D$11, 100%, $F$11)</f>
        <v>5.1612999999999998</v>
      </c>
      <c r="J109" s="4">
        <f>CHOOSE( CONTROL!$C$32, 5.0405, 5.0389) * CHOOSE(CONTROL!$C$15, $D$11, 100%, $F$11)</f>
        <v>5.0404999999999998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1.2509999999999999</v>
      </c>
      <c r="Q109" s="9">
        <v>31.946400000000001</v>
      </c>
      <c r="R109" s="9"/>
      <c r="S109" s="11"/>
    </row>
    <row r="110" spans="1:19" ht="15.75">
      <c r="A110" s="13">
        <v>44470</v>
      </c>
      <c r="B110" s="8">
        <f>CHOOSE( CONTROL!$C$32, 5.4332, 5.4322) * CHOOSE(CONTROL!$C$15, $D$11, 100%, $F$11)</f>
        <v>5.4332000000000003</v>
      </c>
      <c r="C110" s="8">
        <f>CHOOSE( CONTROL!$C$32, 5.4386, 5.4375) * CHOOSE(CONTROL!$C$15, $D$11, 100%, $F$11)</f>
        <v>5.4386000000000001</v>
      </c>
      <c r="D110" s="8">
        <f>CHOOSE( CONTROL!$C$32, 5.4415, 5.4404) * CHOOSE( CONTROL!$C$15, $D$11, 100%, $F$11)</f>
        <v>5.4414999999999996</v>
      </c>
      <c r="E110" s="12">
        <f>CHOOSE( CONTROL!$C$32, 5.44, 5.4389) * CHOOSE( CONTROL!$C$15, $D$11, 100%, $F$11)</f>
        <v>5.44</v>
      </c>
      <c r="F110" s="4">
        <f>CHOOSE( CONTROL!$C$32, 6.1419, 6.1408) * CHOOSE(CONTROL!$C$15, $D$11, 100%, $F$11)</f>
        <v>6.1418999999999997</v>
      </c>
      <c r="G110" s="8">
        <f>CHOOSE( CONTROL!$C$32, 5.3817, 5.3806) * CHOOSE( CONTROL!$C$15, $D$11, 100%, $F$11)</f>
        <v>5.3817000000000004</v>
      </c>
      <c r="H110" s="4">
        <f>CHOOSE( CONTROL!$C$32, 6.3166, 6.3156) * CHOOSE(CONTROL!$C$15, $D$11, 100%, $F$11)</f>
        <v>6.3166000000000002</v>
      </c>
      <c r="I110" s="8">
        <f>CHOOSE( CONTROL!$C$32, 5.3855, 5.3845) * CHOOSE(CONTROL!$C$15, $D$11, 100%, $F$11)</f>
        <v>5.3855000000000004</v>
      </c>
      <c r="J110" s="4">
        <f>CHOOSE( CONTROL!$C$32, 5.2638, 5.2628) * CHOOSE(CONTROL!$C$15, $D$11, 100%, $F$11)</f>
        <v>5.2637999999999998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1.2927</v>
      </c>
      <c r="Q110" s="9">
        <v>33.011299999999999</v>
      </c>
      <c r="R110" s="9"/>
      <c r="S110" s="11"/>
    </row>
    <row r="111" spans="1:19" ht="15.75">
      <c r="A111" s="13">
        <v>44501</v>
      </c>
      <c r="B111" s="8">
        <f>CHOOSE( CONTROL!$C$32, 5.8586, 5.8575) * CHOOSE(CONTROL!$C$15, $D$11, 100%, $F$11)</f>
        <v>5.8586</v>
      </c>
      <c r="C111" s="8">
        <f>CHOOSE( CONTROL!$C$32, 5.8636, 5.8626) * CHOOSE(CONTROL!$C$15, $D$11, 100%, $F$11)</f>
        <v>5.8635999999999999</v>
      </c>
      <c r="D111" s="8">
        <f>CHOOSE( CONTROL!$C$32, 5.8458, 5.8447) * CHOOSE( CONTROL!$C$15, $D$11, 100%, $F$11)</f>
        <v>5.8457999999999997</v>
      </c>
      <c r="E111" s="12">
        <f>CHOOSE( CONTROL!$C$32, 5.8518, 5.8507) * CHOOSE( CONTROL!$C$15, $D$11, 100%, $F$11)</f>
        <v>5.8517999999999999</v>
      </c>
      <c r="F111" s="4">
        <f>CHOOSE( CONTROL!$C$32, 6.5238, 6.5228) * CHOOSE(CONTROL!$C$15, $D$11, 100%, $F$11)</f>
        <v>6.5237999999999996</v>
      </c>
      <c r="G111" s="8">
        <f>CHOOSE( CONTROL!$C$32, 5.8015, 5.8005) * CHOOSE( CONTROL!$C$15, $D$11, 100%, $F$11)</f>
        <v>5.8014999999999999</v>
      </c>
      <c r="H111" s="4">
        <f>CHOOSE( CONTROL!$C$32, 6.6941, 6.693) * CHOOSE(CONTROL!$C$15, $D$11, 100%, $F$11)</f>
        <v>6.6940999999999997</v>
      </c>
      <c r="I111" s="8">
        <f>CHOOSE( CONTROL!$C$32, 5.8606, 5.8596) * CHOOSE(CONTROL!$C$15, $D$11, 100%, $F$11)</f>
        <v>5.8605999999999998</v>
      </c>
      <c r="J111" s="4">
        <f>CHOOSE( CONTROL!$C$32, 5.677, 5.6759) * CHOOSE(CONTROL!$C$15, $D$11, 100%, $F$11)</f>
        <v>5.6769999999999996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31.946400000000001</v>
      </c>
      <c r="R111" s="9"/>
      <c r="S111" s="11"/>
    </row>
    <row r="112" spans="1:19" ht="15.75">
      <c r="A112" s="13">
        <v>44531</v>
      </c>
      <c r="B112" s="8">
        <f>CHOOSE( CONTROL!$C$32, 5.8479, 5.8468) * CHOOSE(CONTROL!$C$15, $D$11, 100%, $F$11)</f>
        <v>5.8479000000000001</v>
      </c>
      <c r="C112" s="8">
        <f>CHOOSE( CONTROL!$C$32, 5.853, 5.8519) * CHOOSE(CONTROL!$C$15, $D$11, 100%, $F$11)</f>
        <v>5.8529999999999998</v>
      </c>
      <c r="D112" s="8">
        <f>CHOOSE( CONTROL!$C$32, 5.8366, 5.8355) * CHOOSE( CONTROL!$C$15, $D$11, 100%, $F$11)</f>
        <v>5.8365999999999998</v>
      </c>
      <c r="E112" s="12">
        <f>CHOOSE( CONTROL!$C$32, 5.8421, 5.841) * CHOOSE( CONTROL!$C$15, $D$11, 100%, $F$11)</f>
        <v>5.8421000000000003</v>
      </c>
      <c r="F112" s="4">
        <f>CHOOSE( CONTROL!$C$32, 6.5132, 6.5121) * CHOOSE(CONTROL!$C$15, $D$11, 100%, $F$11)</f>
        <v>6.5132000000000003</v>
      </c>
      <c r="G112" s="8">
        <f>CHOOSE( CONTROL!$C$32, 5.7921, 5.791) * CHOOSE( CONTROL!$C$15, $D$11, 100%, $F$11)</f>
        <v>5.7920999999999996</v>
      </c>
      <c r="H112" s="4">
        <f>CHOOSE( CONTROL!$C$32, 6.6836, 6.6825) * CHOOSE(CONTROL!$C$15, $D$11, 100%, $F$11)</f>
        <v>6.6836000000000002</v>
      </c>
      <c r="I112" s="8">
        <f>CHOOSE( CONTROL!$C$32, 5.8548, 5.8537) * CHOOSE(CONTROL!$C$15, $D$11, 100%, $F$11)</f>
        <v>5.8548</v>
      </c>
      <c r="J112" s="4">
        <f>CHOOSE( CONTROL!$C$32, 5.6667, 5.6656) * CHOOSE(CONTROL!$C$15, $D$11, 100%, $F$11)</f>
        <v>5.6666999999999996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33.011299999999999</v>
      </c>
      <c r="R112" s="9"/>
      <c r="S112" s="11"/>
    </row>
    <row r="113" spans="1:19" ht="15.75">
      <c r="A113" s="13">
        <v>44562</v>
      </c>
      <c r="B113" s="8">
        <f>CHOOSE( CONTROL!$C$32, 6.2058, 6.2047) * CHOOSE(CONTROL!$C$15, $D$11, 100%, $F$11)</f>
        <v>6.2058</v>
      </c>
      <c r="C113" s="8">
        <f>CHOOSE( CONTROL!$C$32, 6.2108, 6.2098) * CHOOSE(CONTROL!$C$15, $D$11, 100%, $F$11)</f>
        <v>6.2107999999999999</v>
      </c>
      <c r="D113" s="8">
        <f>CHOOSE( CONTROL!$C$32, 6.1896, 6.1885) * CHOOSE( CONTROL!$C$15, $D$11, 100%, $F$11)</f>
        <v>6.1896000000000004</v>
      </c>
      <c r="E113" s="12">
        <f>CHOOSE( CONTROL!$C$32, 6.1968, 6.1957) * CHOOSE( CONTROL!$C$15, $D$11, 100%, $F$11)</f>
        <v>6.1967999999999996</v>
      </c>
      <c r="F113" s="4">
        <f>CHOOSE( CONTROL!$C$32, 6.8711, 6.87) * CHOOSE(CONTROL!$C$15, $D$11, 100%, $F$11)</f>
        <v>6.8711000000000002</v>
      </c>
      <c r="G113" s="8">
        <f>CHOOSE( CONTROL!$C$32, 6.1352, 6.1341) * CHOOSE( CONTROL!$C$15, $D$11, 100%, $F$11)</f>
        <v>6.1352000000000002</v>
      </c>
      <c r="H113" s="4">
        <f>CHOOSE( CONTROL!$C$32, 7.0372, 7.0362) * CHOOSE(CONTROL!$C$15, $D$11, 100%, $F$11)</f>
        <v>7.0372000000000003</v>
      </c>
      <c r="I113" s="8">
        <f>CHOOSE( CONTROL!$C$32, 6.1643, 6.1632) * CHOOSE(CONTROL!$C$15, $D$11, 100%, $F$11)</f>
        <v>6.1642999999999999</v>
      </c>
      <c r="J113" s="4">
        <f>CHOOSE( CONTROL!$C$32, 6.0139, 6.0129) * CHOOSE(CONTROL!$C$15, $D$11, 100%, $F$11)</f>
        <v>6.0138999999999996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32.8123</v>
      </c>
      <c r="R113" s="9"/>
      <c r="S113" s="11"/>
    </row>
    <row r="114" spans="1:19" ht="15.75">
      <c r="A114" s="13">
        <v>44593</v>
      </c>
      <c r="B114" s="8">
        <f>CHOOSE( CONTROL!$C$32, 5.8052, 5.8041) * CHOOSE(CONTROL!$C$15, $D$11, 100%, $F$11)</f>
        <v>5.8052000000000001</v>
      </c>
      <c r="C114" s="8">
        <f>CHOOSE( CONTROL!$C$32, 5.8103, 5.8092) * CHOOSE(CONTROL!$C$15, $D$11, 100%, $F$11)</f>
        <v>5.8102999999999998</v>
      </c>
      <c r="D114" s="8">
        <f>CHOOSE( CONTROL!$C$32, 5.7889, 5.7878) * CHOOSE( CONTROL!$C$15, $D$11, 100%, $F$11)</f>
        <v>5.7888999999999999</v>
      </c>
      <c r="E114" s="12">
        <f>CHOOSE( CONTROL!$C$32, 5.7962, 5.7951) * CHOOSE( CONTROL!$C$15, $D$11, 100%, $F$11)</f>
        <v>5.7961999999999998</v>
      </c>
      <c r="F114" s="4">
        <f>CHOOSE( CONTROL!$C$32, 6.4705, 6.4694) * CHOOSE(CONTROL!$C$15, $D$11, 100%, $F$11)</f>
        <v>6.4705000000000004</v>
      </c>
      <c r="G114" s="8">
        <f>CHOOSE( CONTROL!$C$32, 5.7393, 5.7382) * CHOOSE( CONTROL!$C$15, $D$11, 100%, $F$11)</f>
        <v>5.7393000000000001</v>
      </c>
      <c r="H114" s="4">
        <f>CHOOSE( CONTROL!$C$32, 6.6414, 6.6403) * CHOOSE(CONTROL!$C$15, $D$11, 100%, $F$11)</f>
        <v>6.6414</v>
      </c>
      <c r="I114" s="8">
        <f>CHOOSE( CONTROL!$C$32, 5.775, 5.7739) * CHOOSE(CONTROL!$C$15, $D$11, 100%, $F$11)</f>
        <v>5.7750000000000004</v>
      </c>
      <c r="J114" s="4">
        <f>CHOOSE( CONTROL!$C$32, 5.6252, 5.6242) * CHOOSE(CONTROL!$C$15, $D$11, 100%, $F$11)</f>
        <v>5.6252000000000004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29.636900000000001</v>
      </c>
      <c r="R114" s="9"/>
      <c r="S114" s="11"/>
    </row>
    <row r="115" spans="1:19" ht="15.75">
      <c r="A115" s="13">
        <v>44621</v>
      </c>
      <c r="B115" s="8">
        <f>CHOOSE( CONTROL!$C$32, 5.6819, 5.6808) * CHOOSE(CONTROL!$C$15, $D$11, 100%, $F$11)</f>
        <v>5.6818999999999997</v>
      </c>
      <c r="C115" s="8">
        <f>CHOOSE( CONTROL!$C$32, 5.6869, 5.6859) * CHOOSE(CONTROL!$C$15, $D$11, 100%, $F$11)</f>
        <v>5.6868999999999996</v>
      </c>
      <c r="D115" s="8">
        <f>CHOOSE( CONTROL!$C$32, 5.6649, 5.6638) * CHOOSE( CONTROL!$C$15, $D$11, 100%, $F$11)</f>
        <v>5.6649000000000003</v>
      </c>
      <c r="E115" s="12">
        <f>CHOOSE( CONTROL!$C$32, 5.6724, 5.6713) * CHOOSE( CONTROL!$C$15, $D$11, 100%, $F$11)</f>
        <v>5.6723999999999997</v>
      </c>
      <c r="F115" s="4">
        <f>CHOOSE( CONTROL!$C$32, 6.3471, 6.3461) * CHOOSE(CONTROL!$C$15, $D$11, 100%, $F$11)</f>
        <v>6.3471000000000002</v>
      </c>
      <c r="G115" s="8">
        <f>CHOOSE( CONTROL!$C$32, 5.6169, 5.6158) * CHOOSE( CONTROL!$C$15, $D$11, 100%, $F$11)</f>
        <v>5.6169000000000002</v>
      </c>
      <c r="H115" s="4">
        <f>CHOOSE( CONTROL!$C$32, 6.5195, 6.5184) * CHOOSE(CONTROL!$C$15, $D$11, 100%, $F$11)</f>
        <v>6.5194999999999999</v>
      </c>
      <c r="I115" s="8">
        <f>CHOOSE( CONTROL!$C$32, 5.6532, 5.6521) * CHOOSE(CONTROL!$C$15, $D$11, 100%, $F$11)</f>
        <v>5.6532</v>
      </c>
      <c r="J115" s="4">
        <f>CHOOSE( CONTROL!$C$32, 5.5055, 5.5044) * CHOOSE(CONTROL!$C$15, $D$11, 100%, $F$11)</f>
        <v>5.5054999999999996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32.8123</v>
      </c>
      <c r="R115" s="9"/>
      <c r="S115" s="11"/>
    </row>
    <row r="116" spans="1:19" ht="15.75">
      <c r="A116" s="13">
        <v>44652</v>
      </c>
      <c r="B116" s="8">
        <f>CHOOSE( CONTROL!$C$32, 5.7688, 5.7678) * CHOOSE(CONTROL!$C$15, $D$11, 100%, $F$11)</f>
        <v>5.7687999999999997</v>
      </c>
      <c r="C116" s="8">
        <f>CHOOSE( CONTROL!$C$32, 5.7733, 5.7723) * CHOOSE(CONTROL!$C$15, $D$11, 100%, $F$11)</f>
        <v>5.7732999999999999</v>
      </c>
      <c r="D116" s="8">
        <f>CHOOSE( CONTROL!$C$32, 5.7762, 5.7751) * CHOOSE( CONTROL!$C$15, $D$11, 100%, $F$11)</f>
        <v>5.7762000000000002</v>
      </c>
      <c r="E116" s="12">
        <f>CHOOSE( CONTROL!$C$32, 5.7747, 5.7737) * CHOOSE( CONTROL!$C$15, $D$11, 100%, $F$11)</f>
        <v>5.7747000000000002</v>
      </c>
      <c r="F116" s="4">
        <f>CHOOSE( CONTROL!$C$32, 6.4771, 6.4761) * CHOOSE(CONTROL!$C$15, $D$11, 100%, $F$11)</f>
        <v>6.4771000000000001</v>
      </c>
      <c r="G116" s="8">
        <f>CHOOSE( CONTROL!$C$32, 5.7126, 5.7115) * CHOOSE( CONTROL!$C$15, $D$11, 100%, $F$11)</f>
        <v>5.7126000000000001</v>
      </c>
      <c r="H116" s="4">
        <f>CHOOSE( CONTROL!$C$32, 6.6479, 6.6469) * CHOOSE(CONTROL!$C$15, $D$11, 100%, $F$11)</f>
        <v>6.6478999999999999</v>
      </c>
      <c r="I116" s="8">
        <f>CHOOSE( CONTROL!$C$32, 5.7092, 5.7081) * CHOOSE(CONTROL!$C$15, $D$11, 100%, $F$11)</f>
        <v>5.7092000000000001</v>
      </c>
      <c r="J116" s="4">
        <f>CHOOSE( CONTROL!$C$32, 5.5892, 5.5881) * CHOOSE(CONTROL!$C$15, $D$11, 100%, $F$11)</f>
        <v>5.5891999999999999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1.2509999999999999</v>
      </c>
      <c r="Q116" s="9">
        <v>31.753799999999998</v>
      </c>
      <c r="R116" s="9"/>
      <c r="S116" s="11"/>
    </row>
    <row r="117" spans="1:19" ht="15.75">
      <c r="A117" s="13">
        <v>44682</v>
      </c>
      <c r="B117" s="8">
        <f>CHOOSE( CONTROL!$C$32, 5.9242, 5.9225) * CHOOSE(CONTROL!$C$15, $D$11, 100%, $F$11)</f>
        <v>5.9241999999999999</v>
      </c>
      <c r="C117" s="8">
        <f>CHOOSE( CONTROL!$C$32, 5.9322, 5.9305) * CHOOSE(CONTROL!$C$15, $D$11, 100%, $F$11)</f>
        <v>5.9321999999999999</v>
      </c>
      <c r="D117" s="8">
        <f>CHOOSE( CONTROL!$C$32, 5.9289, 5.9273) * CHOOSE( CONTROL!$C$15, $D$11, 100%, $F$11)</f>
        <v>5.9288999999999996</v>
      </c>
      <c r="E117" s="12">
        <f>CHOOSE( CONTROL!$C$32, 5.9289, 5.9272) * CHOOSE( CONTROL!$C$15, $D$11, 100%, $F$11)</f>
        <v>5.9288999999999996</v>
      </c>
      <c r="F117" s="4">
        <f>CHOOSE( CONTROL!$C$32, 6.6311, 6.6295) * CHOOSE(CONTROL!$C$15, $D$11, 100%, $F$11)</f>
        <v>6.6311</v>
      </c>
      <c r="G117" s="8">
        <f>CHOOSE( CONTROL!$C$32, 5.8646, 5.863) * CHOOSE( CONTROL!$C$15, $D$11, 100%, $F$11)</f>
        <v>5.8646000000000003</v>
      </c>
      <c r="H117" s="4">
        <f>CHOOSE( CONTROL!$C$32, 6.8001, 6.7985) * CHOOSE(CONTROL!$C$15, $D$11, 100%, $F$11)</f>
        <v>6.8000999999999996</v>
      </c>
      <c r="I117" s="8">
        <f>CHOOSE( CONTROL!$C$32, 5.858, 5.8564) * CHOOSE(CONTROL!$C$15, $D$11, 100%, $F$11)</f>
        <v>5.8579999999999997</v>
      </c>
      <c r="J117" s="4">
        <f>CHOOSE( CONTROL!$C$32, 5.7386, 5.737) * CHOOSE(CONTROL!$C$15, $D$11, 100%, $F$11)</f>
        <v>5.7385999999999999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1.2927</v>
      </c>
      <c r="Q117" s="9">
        <v>32.8123</v>
      </c>
      <c r="R117" s="9"/>
      <c r="S117" s="11"/>
    </row>
    <row r="118" spans="1:19" ht="15.75">
      <c r="A118" s="13">
        <v>44713</v>
      </c>
      <c r="B118" s="8">
        <f>CHOOSE( CONTROL!$C$32, 5.8292, 5.8275) * CHOOSE(CONTROL!$C$15, $D$11, 100%, $F$11)</f>
        <v>5.8292000000000002</v>
      </c>
      <c r="C118" s="8">
        <f>CHOOSE( CONTROL!$C$32, 5.8371, 5.8355) * CHOOSE(CONTROL!$C$15, $D$11, 100%, $F$11)</f>
        <v>5.8371000000000004</v>
      </c>
      <c r="D118" s="8">
        <f>CHOOSE( CONTROL!$C$32, 5.8341, 5.8324) * CHOOSE( CONTROL!$C$15, $D$11, 100%, $F$11)</f>
        <v>5.8341000000000003</v>
      </c>
      <c r="E118" s="12">
        <f>CHOOSE( CONTROL!$C$32, 5.834, 5.8323) * CHOOSE( CONTROL!$C$15, $D$11, 100%, $F$11)</f>
        <v>5.8339999999999996</v>
      </c>
      <c r="F118" s="4">
        <f>CHOOSE( CONTROL!$C$32, 6.5361, 6.5344) * CHOOSE(CONTROL!$C$15, $D$11, 100%, $F$11)</f>
        <v>6.5361000000000002</v>
      </c>
      <c r="G118" s="8">
        <f>CHOOSE( CONTROL!$C$32, 5.7709, 5.7692) * CHOOSE( CONTROL!$C$15, $D$11, 100%, $F$11)</f>
        <v>5.7709000000000001</v>
      </c>
      <c r="H118" s="4">
        <f>CHOOSE( CONTROL!$C$32, 6.7062, 6.7046) * CHOOSE(CONTROL!$C$15, $D$11, 100%, $F$11)</f>
        <v>6.7061999999999999</v>
      </c>
      <c r="I118" s="8">
        <f>CHOOSE( CONTROL!$C$32, 5.7665, 5.7648) * CHOOSE(CONTROL!$C$15, $D$11, 100%, $F$11)</f>
        <v>5.7664999999999997</v>
      </c>
      <c r="J118" s="4">
        <f>CHOOSE( CONTROL!$C$32, 5.6464, 5.6448) * CHOOSE(CONTROL!$C$15, $D$11, 100%, $F$11)</f>
        <v>5.6463999999999999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1.2509999999999999</v>
      </c>
      <c r="Q118" s="9">
        <v>31.753799999999998</v>
      </c>
      <c r="R118" s="9"/>
      <c r="S118" s="11"/>
    </row>
    <row r="119" spans="1:19" ht="15.75">
      <c r="A119" s="13">
        <v>44743</v>
      </c>
      <c r="B119" s="8">
        <f>CHOOSE( CONTROL!$C$32, 6.0794, 6.0778) * CHOOSE(CONTROL!$C$15, $D$11, 100%, $F$11)</f>
        <v>6.0793999999999997</v>
      </c>
      <c r="C119" s="8">
        <f>CHOOSE( CONTROL!$C$32, 6.0874, 6.0858) * CHOOSE(CONTROL!$C$15, $D$11, 100%, $F$11)</f>
        <v>6.0873999999999997</v>
      </c>
      <c r="D119" s="8">
        <f>CHOOSE( CONTROL!$C$32, 6.0846, 6.083) * CHOOSE( CONTROL!$C$15, $D$11, 100%, $F$11)</f>
        <v>6.0846</v>
      </c>
      <c r="E119" s="12">
        <f>CHOOSE( CONTROL!$C$32, 6.0844, 6.0828) * CHOOSE( CONTROL!$C$15, $D$11, 100%, $F$11)</f>
        <v>6.0843999999999996</v>
      </c>
      <c r="F119" s="4">
        <f>CHOOSE( CONTROL!$C$32, 6.7864, 6.7847) * CHOOSE(CONTROL!$C$15, $D$11, 100%, $F$11)</f>
        <v>6.7864000000000004</v>
      </c>
      <c r="G119" s="8">
        <f>CHOOSE( CONTROL!$C$32, 6.0184, 6.0168) * CHOOSE( CONTROL!$C$15, $D$11, 100%, $F$11)</f>
        <v>6.0183999999999997</v>
      </c>
      <c r="H119" s="4">
        <f>CHOOSE( CONTROL!$C$32, 6.9535, 6.9519) * CHOOSE(CONTROL!$C$15, $D$11, 100%, $F$11)</f>
        <v>6.9535</v>
      </c>
      <c r="I119" s="8">
        <f>CHOOSE( CONTROL!$C$32, 6.0103, 6.0087) * CHOOSE(CONTROL!$C$15, $D$11, 100%, $F$11)</f>
        <v>6.0103</v>
      </c>
      <c r="J119" s="4">
        <f>CHOOSE( CONTROL!$C$32, 5.8893, 5.8877) * CHOOSE(CONTROL!$C$15, $D$11, 100%, $F$11)</f>
        <v>5.8893000000000004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1.2927</v>
      </c>
      <c r="Q119" s="9">
        <v>32.8123</v>
      </c>
      <c r="R119" s="9"/>
      <c r="S119" s="11"/>
    </row>
    <row r="120" spans="1:19" ht="15.75">
      <c r="A120" s="13">
        <v>44774</v>
      </c>
      <c r="B120" s="8">
        <f>CHOOSE( CONTROL!$C$32, 5.6111, 5.6095) * CHOOSE(CONTROL!$C$15, $D$11, 100%, $F$11)</f>
        <v>5.6111000000000004</v>
      </c>
      <c r="C120" s="8">
        <f>CHOOSE( CONTROL!$C$32, 5.6191, 5.6175) * CHOOSE(CONTROL!$C$15, $D$11, 100%, $F$11)</f>
        <v>5.6191000000000004</v>
      </c>
      <c r="D120" s="8">
        <f>CHOOSE( CONTROL!$C$32, 5.6164, 5.6148) * CHOOSE( CONTROL!$C$15, $D$11, 100%, $F$11)</f>
        <v>5.6163999999999996</v>
      </c>
      <c r="E120" s="12">
        <f>CHOOSE( CONTROL!$C$32, 5.6162, 5.6146) * CHOOSE( CONTROL!$C$15, $D$11, 100%, $F$11)</f>
        <v>5.6162000000000001</v>
      </c>
      <c r="F120" s="4">
        <f>CHOOSE( CONTROL!$C$32, 6.3181, 6.3164) * CHOOSE(CONTROL!$C$15, $D$11, 100%, $F$11)</f>
        <v>6.3181000000000003</v>
      </c>
      <c r="G120" s="8">
        <f>CHOOSE( CONTROL!$C$32, 5.5557, 5.554) * CHOOSE( CONTROL!$C$15, $D$11, 100%, $F$11)</f>
        <v>5.5556999999999999</v>
      </c>
      <c r="H120" s="4">
        <f>CHOOSE( CONTROL!$C$32, 6.4907, 6.4891) * CHOOSE(CONTROL!$C$15, $D$11, 100%, $F$11)</f>
        <v>6.4907000000000004</v>
      </c>
      <c r="I120" s="8">
        <f>CHOOSE( CONTROL!$C$32, 5.5559, 5.5543) * CHOOSE(CONTROL!$C$15, $D$11, 100%, $F$11)</f>
        <v>5.5559000000000003</v>
      </c>
      <c r="J120" s="4">
        <f>CHOOSE( CONTROL!$C$32, 5.4348, 5.4332) * CHOOSE(CONTROL!$C$15, $D$11, 100%, $F$11)</f>
        <v>5.4348000000000001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1.2927</v>
      </c>
      <c r="Q120" s="9">
        <v>32.8123</v>
      </c>
      <c r="R120" s="9"/>
      <c r="S120" s="11"/>
    </row>
    <row r="121" spans="1:19" ht="15.75">
      <c r="A121" s="13">
        <v>44805</v>
      </c>
      <c r="B121" s="8">
        <f>CHOOSE( CONTROL!$C$32, 5.4939, 5.4922) * CHOOSE(CONTROL!$C$15, $D$11, 100%, $F$11)</f>
        <v>5.4939</v>
      </c>
      <c r="C121" s="8">
        <f>CHOOSE( CONTROL!$C$32, 5.5018, 5.5002) * CHOOSE(CONTROL!$C$15, $D$11, 100%, $F$11)</f>
        <v>5.5018000000000002</v>
      </c>
      <c r="D121" s="8">
        <f>CHOOSE( CONTROL!$C$32, 5.4991, 5.4974) * CHOOSE( CONTROL!$C$15, $D$11, 100%, $F$11)</f>
        <v>5.4991000000000003</v>
      </c>
      <c r="E121" s="12">
        <f>CHOOSE( CONTROL!$C$32, 5.4989, 5.4972) * CHOOSE( CONTROL!$C$15, $D$11, 100%, $F$11)</f>
        <v>5.4988999999999999</v>
      </c>
      <c r="F121" s="4">
        <f>CHOOSE( CONTROL!$C$32, 6.2008, 6.1992) * CHOOSE(CONTROL!$C$15, $D$11, 100%, $F$11)</f>
        <v>6.2008000000000001</v>
      </c>
      <c r="G121" s="8">
        <f>CHOOSE( CONTROL!$C$32, 5.4398, 5.4381) * CHOOSE( CONTROL!$C$15, $D$11, 100%, $F$11)</f>
        <v>5.4398</v>
      </c>
      <c r="H121" s="4">
        <f>CHOOSE( CONTROL!$C$32, 6.3748, 6.3732) * CHOOSE(CONTROL!$C$15, $D$11, 100%, $F$11)</f>
        <v>6.3747999999999996</v>
      </c>
      <c r="I121" s="8">
        <f>CHOOSE( CONTROL!$C$32, 5.4419, 5.4403) * CHOOSE(CONTROL!$C$15, $D$11, 100%, $F$11)</f>
        <v>5.4419000000000004</v>
      </c>
      <c r="J121" s="4">
        <f>CHOOSE( CONTROL!$C$32, 5.321, 5.3194) * CHOOSE(CONTROL!$C$15, $D$11, 100%, $F$11)</f>
        <v>5.3209999999999997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1.2509999999999999</v>
      </c>
      <c r="Q121" s="9">
        <v>31.753799999999998</v>
      </c>
      <c r="R121" s="9"/>
      <c r="S121" s="11"/>
    </row>
    <row r="122" spans="1:19" ht="15.75">
      <c r="A122" s="13">
        <v>44835</v>
      </c>
      <c r="B122" s="8">
        <f>CHOOSE( CONTROL!$C$32, 5.7351, 5.734) * CHOOSE(CONTROL!$C$15, $D$11, 100%, $F$11)</f>
        <v>5.7351000000000001</v>
      </c>
      <c r="C122" s="8">
        <f>CHOOSE( CONTROL!$C$32, 5.7404, 5.7393) * CHOOSE(CONTROL!$C$15, $D$11, 100%, $F$11)</f>
        <v>5.7404000000000002</v>
      </c>
      <c r="D122" s="8">
        <f>CHOOSE( CONTROL!$C$32, 5.7433, 5.7422) * CHOOSE( CONTROL!$C$15, $D$11, 100%, $F$11)</f>
        <v>5.7432999999999996</v>
      </c>
      <c r="E122" s="12">
        <f>CHOOSE( CONTROL!$C$32, 5.7418, 5.7407) * CHOOSE( CONTROL!$C$15, $D$11, 100%, $F$11)</f>
        <v>5.7417999999999996</v>
      </c>
      <c r="F122" s="4">
        <f>CHOOSE( CONTROL!$C$32, 6.4437, 6.4426) * CHOOSE(CONTROL!$C$15, $D$11, 100%, $F$11)</f>
        <v>6.4436999999999998</v>
      </c>
      <c r="G122" s="8">
        <f>CHOOSE( CONTROL!$C$32, 5.68, 5.6789) * CHOOSE( CONTROL!$C$15, $D$11, 100%, $F$11)</f>
        <v>5.68</v>
      </c>
      <c r="H122" s="4">
        <f>CHOOSE( CONTROL!$C$32, 6.6149, 6.6138) * CHOOSE(CONTROL!$C$15, $D$11, 100%, $F$11)</f>
        <v>6.6148999999999996</v>
      </c>
      <c r="I122" s="8">
        <f>CHOOSE( CONTROL!$C$32, 5.6786, 5.6775) * CHOOSE(CONTROL!$C$15, $D$11, 100%, $F$11)</f>
        <v>5.6786000000000003</v>
      </c>
      <c r="J122" s="4">
        <f>CHOOSE( CONTROL!$C$32, 5.5567, 5.5557) * CHOOSE(CONTROL!$C$15, $D$11, 100%, $F$11)</f>
        <v>5.5567000000000002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1.2927</v>
      </c>
      <c r="Q122" s="9">
        <v>32.8123</v>
      </c>
      <c r="R122" s="9"/>
      <c r="S122" s="11"/>
    </row>
    <row r="123" spans="1:19" ht="15.75">
      <c r="A123" s="13">
        <v>44866</v>
      </c>
      <c r="B123" s="8">
        <f>CHOOSE( CONTROL!$C$32, 6.1841, 6.183) * CHOOSE(CONTROL!$C$15, $D$11, 100%, $F$11)</f>
        <v>6.1840999999999999</v>
      </c>
      <c r="C123" s="8">
        <f>CHOOSE( CONTROL!$C$32, 6.1892, 6.1881) * CHOOSE(CONTROL!$C$15, $D$11, 100%, $F$11)</f>
        <v>6.1891999999999996</v>
      </c>
      <c r="D123" s="8">
        <f>CHOOSE( CONTROL!$C$32, 6.1713, 6.1703) * CHOOSE( CONTROL!$C$15, $D$11, 100%, $F$11)</f>
        <v>6.1712999999999996</v>
      </c>
      <c r="E123" s="12">
        <f>CHOOSE( CONTROL!$C$32, 6.1773, 6.1763) * CHOOSE( CONTROL!$C$15, $D$11, 100%, $F$11)</f>
        <v>6.1772999999999998</v>
      </c>
      <c r="F123" s="4">
        <f>CHOOSE( CONTROL!$C$32, 6.8494, 6.8483) * CHOOSE(CONTROL!$C$15, $D$11, 100%, $F$11)</f>
        <v>6.8494000000000002</v>
      </c>
      <c r="G123" s="8">
        <f>CHOOSE( CONTROL!$C$32, 6.1232, 6.1222) * CHOOSE( CONTROL!$C$15, $D$11, 100%, $F$11)</f>
        <v>6.1231999999999998</v>
      </c>
      <c r="H123" s="4">
        <f>CHOOSE( CONTROL!$C$32, 7.0158, 7.0147) * CHOOSE(CONTROL!$C$15, $D$11, 100%, $F$11)</f>
        <v>7.0157999999999996</v>
      </c>
      <c r="I123" s="8">
        <f>CHOOSE( CONTROL!$C$32, 6.1767, 6.1757) * CHOOSE(CONTROL!$C$15, $D$11, 100%, $F$11)</f>
        <v>6.1767000000000003</v>
      </c>
      <c r="J123" s="4">
        <f>CHOOSE( CONTROL!$C$32, 5.9929, 5.9919) * CHOOSE(CONTROL!$C$15, $D$11, 100%, $F$11)</f>
        <v>5.9928999999999997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31.753799999999998</v>
      </c>
      <c r="R123" s="9"/>
      <c r="S123" s="11"/>
    </row>
    <row r="124" spans="1:19" ht="15.75">
      <c r="A124" s="13">
        <v>44896</v>
      </c>
      <c r="B124" s="8">
        <f>CHOOSE( CONTROL!$C$32, 6.1729, 6.1718) * CHOOSE(CONTROL!$C$15, $D$11, 100%, $F$11)</f>
        <v>6.1729000000000003</v>
      </c>
      <c r="C124" s="8">
        <f>CHOOSE( CONTROL!$C$32, 6.1779, 6.1768) * CHOOSE(CONTROL!$C$15, $D$11, 100%, $F$11)</f>
        <v>6.1779000000000002</v>
      </c>
      <c r="D124" s="8">
        <f>CHOOSE( CONTROL!$C$32, 6.1615, 6.1605) * CHOOSE( CONTROL!$C$15, $D$11, 100%, $F$11)</f>
        <v>6.1615000000000002</v>
      </c>
      <c r="E124" s="12">
        <f>CHOOSE( CONTROL!$C$32, 6.167, 6.1659) * CHOOSE( CONTROL!$C$15, $D$11, 100%, $F$11)</f>
        <v>6.1669999999999998</v>
      </c>
      <c r="F124" s="4">
        <f>CHOOSE( CONTROL!$C$32, 6.8381, 6.8371) * CHOOSE(CONTROL!$C$15, $D$11, 100%, $F$11)</f>
        <v>6.8380999999999998</v>
      </c>
      <c r="G124" s="8">
        <f>CHOOSE( CONTROL!$C$32, 6.1132, 6.1121) * CHOOSE( CONTROL!$C$15, $D$11, 100%, $F$11)</f>
        <v>6.1132</v>
      </c>
      <c r="H124" s="4">
        <f>CHOOSE( CONTROL!$C$32, 7.0047, 7.0036) * CHOOSE(CONTROL!$C$15, $D$11, 100%, $F$11)</f>
        <v>7.0046999999999997</v>
      </c>
      <c r="I124" s="8">
        <f>CHOOSE( CONTROL!$C$32, 6.1703, 6.1692) * CHOOSE(CONTROL!$C$15, $D$11, 100%, $F$11)</f>
        <v>6.1703000000000001</v>
      </c>
      <c r="J124" s="4">
        <f>CHOOSE( CONTROL!$C$32, 5.982, 5.981) * CHOOSE(CONTROL!$C$15, $D$11, 100%, $F$11)</f>
        <v>5.9820000000000002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32.8123</v>
      </c>
      <c r="R124" s="9"/>
      <c r="S124" s="11"/>
    </row>
    <row r="125" spans="1:19" ht="15.75">
      <c r="A125" s="13">
        <v>44927</v>
      </c>
      <c r="B125" s="8">
        <f>CHOOSE( CONTROL!$C$32, 6.4562, 6.4551) * CHOOSE(CONTROL!$C$15, $D$11, 100%, $F$11)</f>
        <v>6.4561999999999999</v>
      </c>
      <c r="C125" s="8">
        <f>CHOOSE( CONTROL!$C$32, 6.4613, 6.4602) * CHOOSE(CONTROL!$C$15, $D$11, 100%, $F$11)</f>
        <v>6.4612999999999996</v>
      </c>
      <c r="D125" s="8">
        <f>CHOOSE( CONTROL!$C$32, 6.44, 6.4389) * CHOOSE( CONTROL!$C$15, $D$11, 100%, $F$11)</f>
        <v>6.44</v>
      </c>
      <c r="E125" s="12">
        <f>CHOOSE( CONTROL!$C$32, 6.4472, 6.4461) * CHOOSE( CONTROL!$C$15, $D$11, 100%, $F$11)</f>
        <v>6.4471999999999996</v>
      </c>
      <c r="F125" s="4">
        <f>CHOOSE( CONTROL!$C$32, 7.1215, 7.1204) * CHOOSE(CONTROL!$C$15, $D$11, 100%, $F$11)</f>
        <v>7.1215000000000002</v>
      </c>
      <c r="G125" s="8">
        <f>CHOOSE( CONTROL!$C$32, 6.3827, 6.3817) * CHOOSE( CONTROL!$C$15, $D$11, 100%, $F$11)</f>
        <v>6.3826999999999998</v>
      </c>
      <c r="H125" s="4">
        <f>CHOOSE( CONTROL!$C$32, 7.2847, 7.2837) * CHOOSE(CONTROL!$C$15, $D$11, 100%, $F$11)</f>
        <v>7.2847</v>
      </c>
      <c r="I125" s="8">
        <f>CHOOSE( CONTROL!$C$32, 6.4075, 6.4064) * CHOOSE(CONTROL!$C$15, $D$11, 100%, $F$11)</f>
        <v>6.4074999999999998</v>
      </c>
      <c r="J125" s="4">
        <f>CHOOSE( CONTROL!$C$32, 6.257, 6.2559) * CHOOSE(CONTROL!$C$15, $D$11, 100%, $F$11)</f>
        <v>6.2569999999999997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32.624400000000001</v>
      </c>
      <c r="R125" s="9"/>
      <c r="S125" s="11"/>
    </row>
    <row r="126" spans="1:19" ht="15.75">
      <c r="A126" s="13">
        <v>44958</v>
      </c>
      <c r="B126" s="8">
        <f>CHOOSE( CONTROL!$C$32, 6.0395, 6.0384) * CHOOSE(CONTROL!$C$15, $D$11, 100%, $F$11)</f>
        <v>6.0395000000000003</v>
      </c>
      <c r="C126" s="8">
        <f>CHOOSE( CONTROL!$C$32, 6.0446, 6.0435) * CHOOSE(CONTROL!$C$15, $D$11, 100%, $F$11)</f>
        <v>6.0446</v>
      </c>
      <c r="D126" s="8">
        <f>CHOOSE( CONTROL!$C$32, 6.0231, 6.0221) * CHOOSE( CONTROL!$C$15, $D$11, 100%, $F$11)</f>
        <v>6.0231000000000003</v>
      </c>
      <c r="E126" s="12">
        <f>CHOOSE( CONTROL!$C$32, 6.0304, 6.0294) * CHOOSE( CONTROL!$C$15, $D$11, 100%, $F$11)</f>
        <v>6.0304000000000002</v>
      </c>
      <c r="F126" s="4">
        <f>CHOOSE( CONTROL!$C$32, 6.7048, 6.7037) * CHOOSE(CONTROL!$C$15, $D$11, 100%, $F$11)</f>
        <v>6.7047999999999996</v>
      </c>
      <c r="G126" s="8">
        <f>CHOOSE( CONTROL!$C$32, 5.9708, 5.9697) * CHOOSE( CONTROL!$C$15, $D$11, 100%, $F$11)</f>
        <v>5.9707999999999997</v>
      </c>
      <c r="H126" s="4">
        <f>CHOOSE( CONTROL!$C$32, 6.8729, 6.8718) * CHOOSE(CONTROL!$C$15, $D$11, 100%, $F$11)</f>
        <v>6.8728999999999996</v>
      </c>
      <c r="I126" s="8">
        <f>CHOOSE( CONTROL!$C$32, 6.0024, 6.0014) * CHOOSE(CONTROL!$C$15, $D$11, 100%, $F$11)</f>
        <v>6.0023999999999997</v>
      </c>
      <c r="J126" s="4">
        <f>CHOOSE( CONTROL!$C$32, 5.8526, 5.8515) * CHOOSE(CONTROL!$C$15, $D$11, 100%, $F$11)</f>
        <v>5.8525999999999998</v>
      </c>
      <c r="K126" s="4"/>
      <c r="L126" s="9">
        <v>26.469899999999999</v>
      </c>
      <c r="M126" s="9">
        <v>10.8962</v>
      </c>
      <c r="N126" s="9">
        <v>4.4660000000000002</v>
      </c>
      <c r="O126" s="9">
        <v>0.33789999999999998</v>
      </c>
      <c r="P126" s="9">
        <v>1.1676</v>
      </c>
      <c r="Q126" s="9">
        <v>29.467199999999998</v>
      </c>
      <c r="R126" s="9"/>
      <c r="S126" s="11"/>
    </row>
    <row r="127" spans="1:19" ht="15.75">
      <c r="A127" s="13">
        <v>44986</v>
      </c>
      <c r="B127" s="8">
        <f>CHOOSE( CONTROL!$C$32, 5.9111, 5.91) * CHOOSE(CONTROL!$C$15, $D$11, 100%, $F$11)</f>
        <v>5.9111000000000002</v>
      </c>
      <c r="C127" s="8">
        <f>CHOOSE( CONTROL!$C$32, 5.9162, 5.9151) * CHOOSE(CONTROL!$C$15, $D$11, 100%, $F$11)</f>
        <v>5.9161999999999999</v>
      </c>
      <c r="D127" s="8">
        <f>CHOOSE( CONTROL!$C$32, 5.8942, 5.8931) * CHOOSE( CONTROL!$C$15, $D$11, 100%, $F$11)</f>
        <v>5.8941999999999997</v>
      </c>
      <c r="E127" s="12">
        <f>CHOOSE( CONTROL!$C$32, 5.9017, 5.9006) * CHOOSE( CONTROL!$C$15, $D$11, 100%, $F$11)</f>
        <v>5.9016999999999999</v>
      </c>
      <c r="F127" s="4">
        <f>CHOOSE( CONTROL!$C$32, 6.5764, 6.5753) * CHOOSE(CONTROL!$C$15, $D$11, 100%, $F$11)</f>
        <v>6.5763999999999996</v>
      </c>
      <c r="G127" s="8">
        <f>CHOOSE( CONTROL!$C$32, 5.8435, 5.8424) * CHOOSE( CONTROL!$C$15, $D$11, 100%, $F$11)</f>
        <v>5.8434999999999997</v>
      </c>
      <c r="H127" s="4">
        <f>CHOOSE( CONTROL!$C$32, 6.746, 6.745) * CHOOSE(CONTROL!$C$15, $D$11, 100%, $F$11)</f>
        <v>6.7460000000000004</v>
      </c>
      <c r="I127" s="8">
        <f>CHOOSE( CONTROL!$C$32, 5.8758, 5.8748) * CHOOSE(CONTROL!$C$15, $D$11, 100%, $F$11)</f>
        <v>5.8757999999999999</v>
      </c>
      <c r="J127" s="4">
        <f>CHOOSE( CONTROL!$C$32, 5.728, 5.7269) * CHOOSE(CONTROL!$C$15, $D$11, 100%, $F$11)</f>
        <v>5.7279999999999998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32.624400000000001</v>
      </c>
      <c r="R127" s="9"/>
      <c r="S127" s="11"/>
    </row>
    <row r="128" spans="1:19" ht="15.75">
      <c r="A128" s="13">
        <v>45017</v>
      </c>
      <c r="B128" s="8">
        <f>CHOOSE( CONTROL!$C$32, 6.0016, 6.0005) * CHOOSE(CONTROL!$C$15, $D$11, 100%, $F$11)</f>
        <v>6.0015999999999998</v>
      </c>
      <c r="C128" s="8">
        <f>CHOOSE( CONTROL!$C$32, 6.0061, 6.005) * CHOOSE(CONTROL!$C$15, $D$11, 100%, $F$11)</f>
        <v>6.0061</v>
      </c>
      <c r="D128" s="8">
        <f>CHOOSE( CONTROL!$C$32, 6.0089, 6.0079) * CHOOSE( CONTROL!$C$15, $D$11, 100%, $F$11)</f>
        <v>6.0088999999999997</v>
      </c>
      <c r="E128" s="12">
        <f>CHOOSE( CONTROL!$C$32, 6.0075, 6.0064) * CHOOSE( CONTROL!$C$15, $D$11, 100%, $F$11)</f>
        <v>6.0075000000000003</v>
      </c>
      <c r="F128" s="4">
        <f>CHOOSE( CONTROL!$C$32, 6.7099, 6.7088) * CHOOSE(CONTROL!$C$15, $D$11, 100%, $F$11)</f>
        <v>6.7099000000000002</v>
      </c>
      <c r="G128" s="8">
        <f>CHOOSE( CONTROL!$C$32, 5.9426, 5.9415) * CHOOSE( CONTROL!$C$15, $D$11, 100%, $F$11)</f>
        <v>5.9425999999999997</v>
      </c>
      <c r="H128" s="4">
        <f>CHOOSE( CONTROL!$C$32, 6.878, 6.8769) * CHOOSE(CONTROL!$C$15, $D$11, 100%, $F$11)</f>
        <v>6.8780000000000001</v>
      </c>
      <c r="I128" s="8">
        <f>CHOOSE( CONTROL!$C$32, 5.9351, 5.9341) * CHOOSE(CONTROL!$C$15, $D$11, 100%, $F$11)</f>
        <v>5.9351000000000003</v>
      </c>
      <c r="J128" s="4">
        <f>CHOOSE( CONTROL!$C$32, 5.815, 5.814) * CHOOSE(CONTROL!$C$15, $D$11, 100%, $F$11)</f>
        <v>5.8150000000000004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1.2509999999999999</v>
      </c>
      <c r="Q128" s="9">
        <v>31.571999999999999</v>
      </c>
      <c r="R128" s="9"/>
      <c r="S128" s="11"/>
    </row>
    <row r="129" spans="1:19" ht="15.75">
      <c r="A129" s="13">
        <v>45047</v>
      </c>
      <c r="B129" s="8">
        <f>CHOOSE( CONTROL!$C$32, 6.1632, 6.1615) * CHOOSE(CONTROL!$C$15, $D$11, 100%, $F$11)</f>
        <v>6.1631999999999998</v>
      </c>
      <c r="C129" s="8">
        <f>CHOOSE( CONTROL!$C$32, 6.1711, 6.1695) * CHOOSE(CONTROL!$C$15, $D$11, 100%, $F$11)</f>
        <v>6.1711</v>
      </c>
      <c r="D129" s="8">
        <f>CHOOSE( CONTROL!$C$32, 6.1679, 6.1662) * CHOOSE( CONTROL!$C$15, $D$11, 100%, $F$11)</f>
        <v>6.1679000000000004</v>
      </c>
      <c r="E129" s="12">
        <f>CHOOSE( CONTROL!$C$32, 6.1679, 6.1662) * CHOOSE( CONTROL!$C$15, $D$11, 100%, $F$11)</f>
        <v>6.1679000000000004</v>
      </c>
      <c r="F129" s="4">
        <f>CHOOSE( CONTROL!$C$32, 6.8701, 6.8684) * CHOOSE(CONTROL!$C$15, $D$11, 100%, $F$11)</f>
        <v>6.8700999999999999</v>
      </c>
      <c r="G129" s="8">
        <f>CHOOSE( CONTROL!$C$32, 6.1008, 6.0991) * CHOOSE( CONTROL!$C$15, $D$11, 100%, $F$11)</f>
        <v>6.1007999999999996</v>
      </c>
      <c r="H129" s="4">
        <f>CHOOSE( CONTROL!$C$32, 7.0363, 7.0346) * CHOOSE(CONTROL!$C$15, $D$11, 100%, $F$11)</f>
        <v>7.0362999999999998</v>
      </c>
      <c r="I129" s="8">
        <f>CHOOSE( CONTROL!$C$32, 6.09, 6.0884) * CHOOSE(CONTROL!$C$15, $D$11, 100%, $F$11)</f>
        <v>6.09</v>
      </c>
      <c r="J129" s="4">
        <f>CHOOSE( CONTROL!$C$32, 5.9705, 5.9689) * CHOOSE(CONTROL!$C$15, $D$11, 100%, $F$11)</f>
        <v>5.9705000000000004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1.2927</v>
      </c>
      <c r="Q129" s="9">
        <v>32.624400000000001</v>
      </c>
      <c r="R129" s="9"/>
      <c r="S129" s="11"/>
    </row>
    <row r="130" spans="1:19" ht="15.75">
      <c r="A130" s="13">
        <v>45078</v>
      </c>
      <c r="B130" s="8">
        <f>CHOOSE( CONTROL!$C$32, 6.0643, 6.0626) * CHOOSE(CONTROL!$C$15, $D$11, 100%, $F$11)</f>
        <v>6.0643000000000002</v>
      </c>
      <c r="C130" s="8">
        <f>CHOOSE( CONTROL!$C$32, 6.0722, 6.0706) * CHOOSE(CONTROL!$C$15, $D$11, 100%, $F$11)</f>
        <v>6.0721999999999996</v>
      </c>
      <c r="D130" s="8">
        <f>CHOOSE( CONTROL!$C$32, 6.0692, 6.0676) * CHOOSE( CONTROL!$C$15, $D$11, 100%, $F$11)</f>
        <v>6.0692000000000004</v>
      </c>
      <c r="E130" s="12">
        <f>CHOOSE( CONTROL!$C$32, 6.0691, 6.0675) * CHOOSE( CONTROL!$C$15, $D$11, 100%, $F$11)</f>
        <v>6.0690999999999997</v>
      </c>
      <c r="F130" s="4">
        <f>CHOOSE( CONTROL!$C$32, 6.7712, 6.7696) * CHOOSE(CONTROL!$C$15, $D$11, 100%, $F$11)</f>
        <v>6.7712000000000003</v>
      </c>
      <c r="G130" s="8">
        <f>CHOOSE( CONTROL!$C$32, 6.0032, 6.0016) * CHOOSE( CONTROL!$C$15, $D$11, 100%, $F$11)</f>
        <v>6.0031999999999996</v>
      </c>
      <c r="H130" s="4">
        <f>CHOOSE( CONTROL!$C$32, 6.9386, 6.9369) * CHOOSE(CONTROL!$C$15, $D$11, 100%, $F$11)</f>
        <v>6.9386000000000001</v>
      </c>
      <c r="I130" s="8">
        <f>CHOOSE( CONTROL!$C$32, 5.9947, 5.9931) * CHOOSE(CONTROL!$C$15, $D$11, 100%, $F$11)</f>
        <v>5.9946999999999999</v>
      </c>
      <c r="J130" s="4">
        <f>CHOOSE( CONTROL!$C$32, 5.8746, 5.8729) * CHOOSE(CONTROL!$C$15, $D$11, 100%, $F$11)</f>
        <v>5.8746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1.2509999999999999</v>
      </c>
      <c r="Q130" s="9">
        <v>31.571999999999999</v>
      </c>
      <c r="R130" s="9"/>
      <c r="S130" s="11"/>
    </row>
    <row r="131" spans="1:19" ht="15.75">
      <c r="A131" s="13">
        <v>45108</v>
      </c>
      <c r="B131" s="8">
        <f>CHOOSE( CONTROL!$C$32, 6.3247, 6.323) * CHOOSE(CONTROL!$C$15, $D$11, 100%, $F$11)</f>
        <v>6.3247</v>
      </c>
      <c r="C131" s="8">
        <f>CHOOSE( CONTROL!$C$32, 6.3326, 6.331) * CHOOSE(CONTROL!$C$15, $D$11, 100%, $F$11)</f>
        <v>6.3326000000000002</v>
      </c>
      <c r="D131" s="8">
        <f>CHOOSE( CONTROL!$C$32, 6.3298, 6.3282) * CHOOSE( CONTROL!$C$15, $D$11, 100%, $F$11)</f>
        <v>6.3297999999999996</v>
      </c>
      <c r="E131" s="12">
        <f>CHOOSE( CONTROL!$C$32, 6.3296, 6.328) * CHOOSE( CONTROL!$C$15, $D$11, 100%, $F$11)</f>
        <v>6.3296000000000001</v>
      </c>
      <c r="F131" s="4">
        <f>CHOOSE( CONTROL!$C$32, 7.0316, 7.0299) * CHOOSE(CONTROL!$C$15, $D$11, 100%, $F$11)</f>
        <v>7.0316000000000001</v>
      </c>
      <c r="G131" s="8">
        <f>CHOOSE( CONTROL!$C$32, 6.2608, 6.2591) * CHOOSE( CONTROL!$C$15, $D$11, 100%, $F$11)</f>
        <v>6.2607999999999997</v>
      </c>
      <c r="H131" s="4">
        <f>CHOOSE( CONTROL!$C$32, 7.1959, 7.1943) * CHOOSE(CONTROL!$C$15, $D$11, 100%, $F$11)</f>
        <v>7.1959</v>
      </c>
      <c r="I131" s="8">
        <f>CHOOSE( CONTROL!$C$32, 6.2484, 6.2468) * CHOOSE(CONTROL!$C$15, $D$11, 100%, $F$11)</f>
        <v>6.2484000000000002</v>
      </c>
      <c r="J131" s="4">
        <f>CHOOSE( CONTROL!$C$32, 6.1273, 6.1257) * CHOOSE(CONTROL!$C$15, $D$11, 100%, $F$11)</f>
        <v>6.1273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1.2927</v>
      </c>
      <c r="Q131" s="9">
        <v>32.624400000000001</v>
      </c>
      <c r="R131" s="9"/>
      <c r="S131" s="11"/>
    </row>
    <row r="132" spans="1:19" ht="15.75">
      <c r="A132" s="13">
        <v>45139</v>
      </c>
      <c r="B132" s="8">
        <f>CHOOSE( CONTROL!$C$32, 5.8374, 5.8358) * CHOOSE(CONTROL!$C$15, $D$11, 100%, $F$11)</f>
        <v>5.8373999999999997</v>
      </c>
      <c r="C132" s="8">
        <f>CHOOSE( CONTROL!$C$32, 5.8454, 5.8438) * CHOOSE(CONTROL!$C$15, $D$11, 100%, $F$11)</f>
        <v>5.8453999999999997</v>
      </c>
      <c r="D132" s="8">
        <f>CHOOSE( CONTROL!$C$32, 5.8427, 5.8411) * CHOOSE( CONTROL!$C$15, $D$11, 100%, $F$11)</f>
        <v>5.8426999999999998</v>
      </c>
      <c r="E132" s="12">
        <f>CHOOSE( CONTROL!$C$32, 5.8425, 5.8409) * CHOOSE( CONTROL!$C$15, $D$11, 100%, $F$11)</f>
        <v>5.8425000000000002</v>
      </c>
      <c r="F132" s="4">
        <f>CHOOSE( CONTROL!$C$32, 6.5444, 6.5427) * CHOOSE(CONTROL!$C$15, $D$11, 100%, $F$11)</f>
        <v>6.5444000000000004</v>
      </c>
      <c r="G132" s="8">
        <f>CHOOSE( CONTROL!$C$32, 5.7793, 5.7777) * CHOOSE( CONTROL!$C$15, $D$11, 100%, $F$11)</f>
        <v>5.7793000000000001</v>
      </c>
      <c r="H132" s="4">
        <f>CHOOSE( CONTROL!$C$32, 6.7144, 6.7127) * CHOOSE(CONTROL!$C$15, $D$11, 100%, $F$11)</f>
        <v>6.7144000000000004</v>
      </c>
      <c r="I132" s="8">
        <f>CHOOSE( CONTROL!$C$32, 5.7757, 5.7741) * CHOOSE(CONTROL!$C$15, $D$11, 100%, $F$11)</f>
        <v>5.7756999999999996</v>
      </c>
      <c r="J132" s="4">
        <f>CHOOSE( CONTROL!$C$32, 5.6544, 5.6528) * CHOOSE(CONTROL!$C$15, $D$11, 100%, $F$11)</f>
        <v>5.6543999999999999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1.2927</v>
      </c>
      <c r="Q132" s="9">
        <v>32.624400000000001</v>
      </c>
      <c r="R132" s="9"/>
      <c r="S132" s="11"/>
    </row>
    <row r="133" spans="1:19" ht="15.75">
      <c r="A133" s="13">
        <v>45170</v>
      </c>
      <c r="B133" s="8">
        <f>CHOOSE( CONTROL!$C$32, 5.7154, 5.7138) * CHOOSE(CONTROL!$C$15, $D$11, 100%, $F$11)</f>
        <v>5.7153999999999998</v>
      </c>
      <c r="C133" s="8">
        <f>CHOOSE( CONTROL!$C$32, 5.7234, 5.7217) * CHOOSE(CONTROL!$C$15, $D$11, 100%, $F$11)</f>
        <v>5.7233999999999998</v>
      </c>
      <c r="D133" s="8">
        <f>CHOOSE( CONTROL!$C$32, 5.7207, 5.719) * CHOOSE( CONTROL!$C$15, $D$11, 100%, $F$11)</f>
        <v>5.7206999999999999</v>
      </c>
      <c r="E133" s="12">
        <f>CHOOSE( CONTROL!$C$32, 5.7205, 5.7188) * CHOOSE( CONTROL!$C$15, $D$11, 100%, $F$11)</f>
        <v>5.7205000000000004</v>
      </c>
      <c r="F133" s="4">
        <f>CHOOSE( CONTROL!$C$32, 6.4224, 6.4207) * CHOOSE(CONTROL!$C$15, $D$11, 100%, $F$11)</f>
        <v>6.4223999999999997</v>
      </c>
      <c r="G133" s="8">
        <f>CHOOSE( CONTROL!$C$32, 5.6587, 5.6571) * CHOOSE( CONTROL!$C$15, $D$11, 100%, $F$11)</f>
        <v>5.6586999999999996</v>
      </c>
      <c r="H133" s="4">
        <f>CHOOSE( CONTROL!$C$32, 6.5938, 6.5922) * CHOOSE(CONTROL!$C$15, $D$11, 100%, $F$11)</f>
        <v>6.5937999999999999</v>
      </c>
      <c r="I133" s="8">
        <f>CHOOSE( CONTROL!$C$32, 5.657, 5.6554) * CHOOSE(CONTROL!$C$15, $D$11, 100%, $F$11)</f>
        <v>5.657</v>
      </c>
      <c r="J133" s="4">
        <f>CHOOSE( CONTROL!$C$32, 5.536, 5.5344) * CHOOSE(CONTROL!$C$15, $D$11, 100%, $F$11)</f>
        <v>5.5359999999999996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1.2509999999999999</v>
      </c>
      <c r="Q133" s="9">
        <v>31.571999999999999</v>
      </c>
      <c r="R133" s="9"/>
      <c r="S133" s="11"/>
    </row>
    <row r="134" spans="1:19" ht="15.75">
      <c r="A134" s="13">
        <v>45200</v>
      </c>
      <c r="B134" s="8">
        <f>CHOOSE( CONTROL!$C$32, 5.9665, 5.9654) * CHOOSE(CONTROL!$C$15, $D$11, 100%, $F$11)</f>
        <v>5.9664999999999999</v>
      </c>
      <c r="C134" s="8">
        <f>CHOOSE( CONTROL!$C$32, 5.9718, 5.9707) * CHOOSE(CONTROL!$C$15, $D$11, 100%, $F$11)</f>
        <v>5.9718</v>
      </c>
      <c r="D134" s="8">
        <f>CHOOSE( CONTROL!$C$32, 5.9747, 5.9736) * CHOOSE( CONTROL!$C$15, $D$11, 100%, $F$11)</f>
        <v>5.9747000000000003</v>
      </c>
      <c r="E134" s="12">
        <f>CHOOSE( CONTROL!$C$32, 5.9732, 5.9721) * CHOOSE( CONTROL!$C$15, $D$11, 100%, $F$11)</f>
        <v>5.9732000000000003</v>
      </c>
      <c r="F134" s="4">
        <f>CHOOSE( CONTROL!$C$32, 6.6751, 6.674) * CHOOSE(CONTROL!$C$15, $D$11, 100%, $F$11)</f>
        <v>6.6750999999999996</v>
      </c>
      <c r="G134" s="8">
        <f>CHOOSE( CONTROL!$C$32, 5.9087, 5.9076) * CHOOSE( CONTROL!$C$15, $D$11, 100%, $F$11)</f>
        <v>5.9086999999999996</v>
      </c>
      <c r="H134" s="4">
        <f>CHOOSE( CONTROL!$C$32, 6.8436, 6.8425) * CHOOSE(CONTROL!$C$15, $D$11, 100%, $F$11)</f>
        <v>6.8436000000000003</v>
      </c>
      <c r="I134" s="8">
        <f>CHOOSE( CONTROL!$C$32, 5.9033, 5.9022) * CHOOSE(CONTROL!$C$15, $D$11, 100%, $F$11)</f>
        <v>5.9032999999999998</v>
      </c>
      <c r="J134" s="4">
        <f>CHOOSE( CONTROL!$C$32, 5.7813, 5.7802) * CHOOSE(CONTROL!$C$15, $D$11, 100%, $F$11)</f>
        <v>5.7812999999999999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1.2927</v>
      </c>
      <c r="Q134" s="9">
        <v>32.624400000000001</v>
      </c>
      <c r="R134" s="9"/>
      <c r="S134" s="11"/>
    </row>
    <row r="135" spans="1:19" ht="15.75">
      <c r="A135" s="13">
        <v>45231</v>
      </c>
      <c r="B135" s="8">
        <f>CHOOSE( CONTROL!$C$32, 6.4336, 6.4326) * CHOOSE(CONTROL!$C$15, $D$11, 100%, $F$11)</f>
        <v>6.4336000000000002</v>
      </c>
      <c r="C135" s="8">
        <f>CHOOSE( CONTROL!$C$32, 6.4387, 6.4376) * CHOOSE(CONTROL!$C$15, $D$11, 100%, $F$11)</f>
        <v>6.4386999999999999</v>
      </c>
      <c r="D135" s="8">
        <f>CHOOSE( CONTROL!$C$32, 6.4209, 6.4198) * CHOOSE( CONTROL!$C$15, $D$11, 100%, $F$11)</f>
        <v>6.4208999999999996</v>
      </c>
      <c r="E135" s="12">
        <f>CHOOSE( CONTROL!$C$32, 6.4269, 6.4258) * CHOOSE( CONTROL!$C$15, $D$11, 100%, $F$11)</f>
        <v>6.4268999999999998</v>
      </c>
      <c r="F135" s="4">
        <f>CHOOSE( CONTROL!$C$32, 7.0989, 7.0978) * CHOOSE(CONTROL!$C$15, $D$11, 100%, $F$11)</f>
        <v>7.0989000000000004</v>
      </c>
      <c r="G135" s="8">
        <f>CHOOSE( CONTROL!$C$32, 6.3699, 6.3688) * CHOOSE( CONTROL!$C$15, $D$11, 100%, $F$11)</f>
        <v>6.3699000000000003</v>
      </c>
      <c r="H135" s="4">
        <f>CHOOSE( CONTROL!$C$32, 7.2624, 7.2614) * CHOOSE(CONTROL!$C$15, $D$11, 100%, $F$11)</f>
        <v>7.2624000000000004</v>
      </c>
      <c r="I135" s="8">
        <f>CHOOSE( CONTROL!$C$32, 6.419, 6.418) * CHOOSE(CONTROL!$C$15, $D$11, 100%, $F$11)</f>
        <v>6.4189999999999996</v>
      </c>
      <c r="J135" s="4">
        <f>CHOOSE( CONTROL!$C$32, 6.2351, 6.2341) * CHOOSE(CONTROL!$C$15, $D$11, 100%, $F$11)</f>
        <v>6.2351000000000001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31.571999999999999</v>
      </c>
      <c r="R135" s="9"/>
      <c r="S135" s="11"/>
    </row>
    <row r="136" spans="1:19" ht="15.75">
      <c r="A136" s="13">
        <v>45261</v>
      </c>
      <c r="B136" s="8">
        <f>CHOOSE( CONTROL!$C$32, 6.422, 6.4209) * CHOOSE(CONTROL!$C$15, $D$11, 100%, $F$11)</f>
        <v>6.4219999999999997</v>
      </c>
      <c r="C136" s="8">
        <f>CHOOSE( CONTROL!$C$32, 6.427, 6.426) * CHOOSE(CONTROL!$C$15, $D$11, 100%, $F$11)</f>
        <v>6.4269999999999996</v>
      </c>
      <c r="D136" s="8">
        <f>CHOOSE( CONTROL!$C$32, 6.4107, 6.4096) * CHOOSE( CONTROL!$C$15, $D$11, 100%, $F$11)</f>
        <v>6.4107000000000003</v>
      </c>
      <c r="E136" s="12">
        <f>CHOOSE( CONTROL!$C$32, 6.4161, 6.4151) * CHOOSE( CONTROL!$C$15, $D$11, 100%, $F$11)</f>
        <v>6.4161000000000001</v>
      </c>
      <c r="F136" s="4">
        <f>CHOOSE( CONTROL!$C$32, 7.0872, 7.0862) * CHOOSE(CONTROL!$C$15, $D$11, 100%, $F$11)</f>
        <v>7.0872000000000002</v>
      </c>
      <c r="G136" s="8">
        <f>CHOOSE( CONTROL!$C$32, 6.3594, 6.3583) * CHOOSE( CONTROL!$C$15, $D$11, 100%, $F$11)</f>
        <v>6.3593999999999999</v>
      </c>
      <c r="H136" s="4">
        <f>CHOOSE( CONTROL!$C$32, 7.2509, 7.2498) * CHOOSE(CONTROL!$C$15, $D$11, 100%, $F$11)</f>
        <v>7.2508999999999997</v>
      </c>
      <c r="I136" s="8">
        <f>CHOOSE( CONTROL!$C$32, 6.4122, 6.4111) * CHOOSE(CONTROL!$C$15, $D$11, 100%, $F$11)</f>
        <v>6.4122000000000003</v>
      </c>
      <c r="J136" s="4">
        <f>CHOOSE( CONTROL!$C$32, 6.2238, 6.2227) * CHOOSE(CONTROL!$C$15, $D$11, 100%, $F$11)</f>
        <v>6.2237999999999998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32.624400000000001</v>
      </c>
      <c r="R136" s="9"/>
      <c r="S136" s="11"/>
    </row>
    <row r="137" spans="1:19" ht="15.75">
      <c r="A137" s="13">
        <v>45292</v>
      </c>
      <c r="B137" s="8">
        <f>CHOOSE( CONTROL!$C$32, 6.6522, 6.6511) * CHOOSE(CONTROL!$C$15, $D$11, 100%, $F$11)</f>
        <v>6.6521999999999997</v>
      </c>
      <c r="C137" s="8">
        <f>CHOOSE( CONTROL!$C$32, 6.6573, 6.6562) * CHOOSE(CONTROL!$C$15, $D$11, 100%, $F$11)</f>
        <v>6.6573000000000002</v>
      </c>
      <c r="D137" s="8">
        <f>CHOOSE( CONTROL!$C$32, 6.636, 6.6349) * CHOOSE( CONTROL!$C$15, $D$11, 100%, $F$11)</f>
        <v>6.6360000000000001</v>
      </c>
      <c r="E137" s="12">
        <f>CHOOSE( CONTROL!$C$32, 6.6432, 6.6421) * CHOOSE( CONTROL!$C$15, $D$11, 100%, $F$11)</f>
        <v>6.6432000000000002</v>
      </c>
      <c r="F137" s="4">
        <f>CHOOSE( CONTROL!$C$32, 7.3175, 7.3164) * CHOOSE(CONTROL!$C$15, $D$11, 100%, $F$11)</f>
        <v>7.3174999999999999</v>
      </c>
      <c r="G137" s="8">
        <f>CHOOSE( CONTROL!$C$32, 6.5764, 6.5754) * CHOOSE( CONTROL!$C$15, $D$11, 100%, $F$11)</f>
        <v>6.5763999999999996</v>
      </c>
      <c r="H137" s="4">
        <f>CHOOSE( CONTROL!$C$32, 7.4784, 7.4774) * CHOOSE(CONTROL!$C$15, $D$11, 100%, $F$11)</f>
        <v>7.4783999999999997</v>
      </c>
      <c r="I137" s="8">
        <f>CHOOSE( CONTROL!$C$32, 6.5978, 6.5967) * CHOOSE(CONTROL!$C$15, $D$11, 100%, $F$11)</f>
        <v>6.5978000000000003</v>
      </c>
      <c r="J137" s="4">
        <f>CHOOSE( CONTROL!$C$32, 6.4472, 6.4462) * CHOOSE(CONTROL!$C$15, $D$11, 100%, $F$11)</f>
        <v>6.4471999999999996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32.440300000000001</v>
      </c>
      <c r="R137" s="9"/>
      <c r="S137" s="11"/>
    </row>
    <row r="138" spans="1:19" ht="15.75">
      <c r="A138" s="13">
        <v>45323</v>
      </c>
      <c r="B138" s="8">
        <f>CHOOSE( CONTROL!$C$32, 6.2228, 6.2217) * CHOOSE(CONTROL!$C$15, $D$11, 100%, $F$11)</f>
        <v>6.2228000000000003</v>
      </c>
      <c r="C138" s="8">
        <f>CHOOSE( CONTROL!$C$32, 6.2279, 6.2268) * CHOOSE(CONTROL!$C$15, $D$11, 100%, $F$11)</f>
        <v>6.2279</v>
      </c>
      <c r="D138" s="8">
        <f>CHOOSE( CONTROL!$C$32, 6.2065, 6.2054) * CHOOSE( CONTROL!$C$15, $D$11, 100%, $F$11)</f>
        <v>6.2065000000000001</v>
      </c>
      <c r="E138" s="12">
        <f>CHOOSE( CONTROL!$C$32, 6.2138, 6.2127) * CHOOSE( CONTROL!$C$15, $D$11, 100%, $F$11)</f>
        <v>6.2138</v>
      </c>
      <c r="F138" s="4">
        <f>CHOOSE( CONTROL!$C$32, 6.8881, 6.887) * CHOOSE(CONTROL!$C$15, $D$11, 100%, $F$11)</f>
        <v>6.8880999999999997</v>
      </c>
      <c r="G138" s="8">
        <f>CHOOSE( CONTROL!$C$32, 6.152, 6.1509) * CHOOSE( CONTROL!$C$15, $D$11, 100%, $F$11)</f>
        <v>6.1520000000000001</v>
      </c>
      <c r="H138" s="4">
        <f>CHOOSE( CONTROL!$C$32, 7.0541, 7.053) * CHOOSE(CONTROL!$C$15, $D$11, 100%, $F$11)</f>
        <v>7.0541</v>
      </c>
      <c r="I138" s="8">
        <f>CHOOSE( CONTROL!$C$32, 6.1804, 6.1794) * CHOOSE(CONTROL!$C$15, $D$11, 100%, $F$11)</f>
        <v>6.1803999999999997</v>
      </c>
      <c r="J138" s="4">
        <f>CHOOSE( CONTROL!$C$32, 6.0305, 6.0294) * CHOOSE(CONTROL!$C$15, $D$11, 100%, $F$11)</f>
        <v>6.0305</v>
      </c>
      <c r="K138" s="4"/>
      <c r="L138" s="9">
        <v>27.415299999999998</v>
      </c>
      <c r="M138" s="9">
        <v>11.285299999999999</v>
      </c>
      <c r="N138" s="9">
        <v>4.6254999999999997</v>
      </c>
      <c r="O138" s="9">
        <v>0.34989999999999999</v>
      </c>
      <c r="P138" s="9">
        <v>1.2093</v>
      </c>
      <c r="Q138" s="9">
        <v>30.347300000000001</v>
      </c>
      <c r="R138" s="9"/>
      <c r="S138" s="11"/>
    </row>
    <row r="139" spans="1:19" ht="15.75">
      <c r="A139" s="13">
        <v>45352</v>
      </c>
      <c r="B139" s="8">
        <f>CHOOSE( CONTROL!$C$32, 6.0906, 6.0895) * CHOOSE(CONTROL!$C$15, $D$11, 100%, $F$11)</f>
        <v>6.0906000000000002</v>
      </c>
      <c r="C139" s="8">
        <f>CHOOSE( CONTROL!$C$32, 6.0956, 6.0945) * CHOOSE(CONTROL!$C$15, $D$11, 100%, $F$11)</f>
        <v>6.0956000000000001</v>
      </c>
      <c r="D139" s="8">
        <f>CHOOSE( CONTROL!$C$32, 6.0736, 6.0725) * CHOOSE( CONTROL!$C$15, $D$11, 100%, $F$11)</f>
        <v>6.0735999999999999</v>
      </c>
      <c r="E139" s="12">
        <f>CHOOSE( CONTROL!$C$32, 6.0811, 6.08) * CHOOSE( CONTROL!$C$15, $D$11, 100%, $F$11)</f>
        <v>6.0811000000000002</v>
      </c>
      <c r="F139" s="4">
        <f>CHOOSE( CONTROL!$C$32, 6.7558, 6.7548) * CHOOSE(CONTROL!$C$15, $D$11, 100%, $F$11)</f>
        <v>6.7557999999999998</v>
      </c>
      <c r="G139" s="8">
        <f>CHOOSE( CONTROL!$C$32, 6.0208, 6.0197) * CHOOSE( CONTROL!$C$15, $D$11, 100%, $F$11)</f>
        <v>6.0208000000000004</v>
      </c>
      <c r="H139" s="4">
        <f>CHOOSE( CONTROL!$C$32, 6.9234, 6.9223) * CHOOSE(CONTROL!$C$15, $D$11, 100%, $F$11)</f>
        <v>6.9234</v>
      </c>
      <c r="I139" s="8">
        <f>CHOOSE( CONTROL!$C$32, 6.05, 6.049) * CHOOSE(CONTROL!$C$15, $D$11, 100%, $F$11)</f>
        <v>6.05</v>
      </c>
      <c r="J139" s="4">
        <f>CHOOSE( CONTROL!$C$32, 5.9021, 5.9011) * CHOOSE(CONTROL!$C$15, $D$11, 100%, $F$11)</f>
        <v>5.9020999999999999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32.440300000000001</v>
      </c>
      <c r="R139" s="9"/>
      <c r="S139" s="11"/>
    </row>
    <row r="140" spans="1:19" ht="15.75">
      <c r="A140" s="13">
        <v>45383</v>
      </c>
      <c r="B140" s="8">
        <f>CHOOSE( CONTROL!$C$32, 6.1837, 6.1827) * CHOOSE(CONTROL!$C$15, $D$11, 100%, $F$11)</f>
        <v>6.1837</v>
      </c>
      <c r="C140" s="8">
        <f>CHOOSE( CONTROL!$C$32, 6.1882, 6.1872) * CHOOSE(CONTROL!$C$15, $D$11, 100%, $F$11)</f>
        <v>6.1882000000000001</v>
      </c>
      <c r="D140" s="8">
        <f>CHOOSE( CONTROL!$C$32, 6.1911, 6.19) * CHOOSE( CONTROL!$C$15, $D$11, 100%, $F$11)</f>
        <v>6.1910999999999996</v>
      </c>
      <c r="E140" s="12">
        <f>CHOOSE( CONTROL!$C$32, 6.1896, 6.1886) * CHOOSE( CONTROL!$C$15, $D$11, 100%, $F$11)</f>
        <v>6.1896000000000004</v>
      </c>
      <c r="F140" s="4">
        <f>CHOOSE( CONTROL!$C$32, 6.892, 6.891) * CHOOSE(CONTROL!$C$15, $D$11, 100%, $F$11)</f>
        <v>6.8920000000000003</v>
      </c>
      <c r="G140" s="8">
        <f>CHOOSE( CONTROL!$C$32, 6.1226, 6.1215) * CHOOSE( CONTROL!$C$15, $D$11, 100%, $F$11)</f>
        <v>6.1226000000000003</v>
      </c>
      <c r="H140" s="4">
        <f>CHOOSE( CONTROL!$C$32, 7.058, 7.0569) * CHOOSE(CONTROL!$C$15, $D$11, 100%, $F$11)</f>
        <v>7.0579999999999998</v>
      </c>
      <c r="I140" s="8">
        <f>CHOOSE( CONTROL!$C$32, 6.112, 6.111) * CHOOSE(CONTROL!$C$15, $D$11, 100%, $F$11)</f>
        <v>6.1120000000000001</v>
      </c>
      <c r="J140" s="4">
        <f>CHOOSE( CONTROL!$C$32, 5.9918, 5.9908) * CHOOSE(CONTROL!$C$15, $D$11, 100%, $F$11)</f>
        <v>5.9917999999999996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1.2509999999999999</v>
      </c>
      <c r="Q140" s="9">
        <v>31.393799999999999</v>
      </c>
      <c r="R140" s="9"/>
      <c r="S140" s="11"/>
    </row>
    <row r="141" spans="1:19" ht="15.75">
      <c r="A141" s="13">
        <v>45413</v>
      </c>
      <c r="B141" s="8">
        <f>CHOOSE( CONTROL!$C$32, 6.3502, 6.3485) * CHOOSE(CONTROL!$C$15, $D$11, 100%, $F$11)</f>
        <v>6.3502000000000001</v>
      </c>
      <c r="C141" s="8">
        <f>CHOOSE( CONTROL!$C$32, 6.3581, 6.3565) * CHOOSE(CONTROL!$C$15, $D$11, 100%, $F$11)</f>
        <v>6.3581000000000003</v>
      </c>
      <c r="D141" s="8">
        <f>CHOOSE( CONTROL!$C$32, 6.3549, 6.3532) * CHOOSE( CONTROL!$C$15, $D$11, 100%, $F$11)</f>
        <v>6.3548999999999998</v>
      </c>
      <c r="E141" s="12">
        <f>CHOOSE( CONTROL!$C$32, 6.3549, 6.3532) * CHOOSE( CONTROL!$C$15, $D$11, 100%, $F$11)</f>
        <v>6.3548999999999998</v>
      </c>
      <c r="F141" s="4">
        <f>CHOOSE( CONTROL!$C$32, 7.0571, 7.0554) * CHOOSE(CONTROL!$C$15, $D$11, 100%, $F$11)</f>
        <v>7.0571000000000002</v>
      </c>
      <c r="G141" s="8">
        <f>CHOOSE( CONTROL!$C$32, 6.2856, 6.284) * CHOOSE( CONTROL!$C$15, $D$11, 100%, $F$11)</f>
        <v>6.2855999999999996</v>
      </c>
      <c r="H141" s="4">
        <f>CHOOSE( CONTROL!$C$32, 7.2211, 7.2195) * CHOOSE(CONTROL!$C$15, $D$11, 100%, $F$11)</f>
        <v>7.2210999999999999</v>
      </c>
      <c r="I141" s="8">
        <f>CHOOSE( CONTROL!$C$32, 6.2716, 6.2699) * CHOOSE(CONTROL!$C$15, $D$11, 100%, $F$11)</f>
        <v>6.2716000000000003</v>
      </c>
      <c r="J141" s="4">
        <f>CHOOSE( CONTROL!$C$32, 6.152, 6.1504) * CHOOSE(CONTROL!$C$15, $D$11, 100%, $F$11)</f>
        <v>6.1520000000000001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1.2927</v>
      </c>
      <c r="Q141" s="9">
        <v>32.440300000000001</v>
      </c>
      <c r="R141" s="9"/>
      <c r="S141" s="11"/>
    </row>
    <row r="142" spans="1:19" ht="15.75">
      <c r="A142" s="13">
        <v>45444</v>
      </c>
      <c r="B142" s="8">
        <f>CHOOSE( CONTROL!$C$32, 6.2483, 6.2466) * CHOOSE(CONTROL!$C$15, $D$11, 100%, $F$11)</f>
        <v>6.2483000000000004</v>
      </c>
      <c r="C142" s="8">
        <f>CHOOSE( CONTROL!$C$32, 6.2562, 6.2546) * CHOOSE(CONTROL!$C$15, $D$11, 100%, $F$11)</f>
        <v>6.2561999999999998</v>
      </c>
      <c r="D142" s="8">
        <f>CHOOSE( CONTROL!$C$32, 6.2532, 6.2515) * CHOOSE( CONTROL!$C$15, $D$11, 100%, $F$11)</f>
        <v>6.2531999999999996</v>
      </c>
      <c r="E142" s="12">
        <f>CHOOSE( CONTROL!$C$32, 6.2531, 6.2514) * CHOOSE( CONTROL!$C$15, $D$11, 100%, $F$11)</f>
        <v>6.2530999999999999</v>
      </c>
      <c r="F142" s="4">
        <f>CHOOSE( CONTROL!$C$32, 6.9552, 6.9535) * CHOOSE(CONTROL!$C$15, $D$11, 100%, $F$11)</f>
        <v>6.9551999999999996</v>
      </c>
      <c r="G142" s="8">
        <f>CHOOSE( CONTROL!$C$32, 6.1851, 6.1834) * CHOOSE( CONTROL!$C$15, $D$11, 100%, $F$11)</f>
        <v>6.1851000000000003</v>
      </c>
      <c r="H142" s="4">
        <f>CHOOSE( CONTROL!$C$32, 7.1204, 7.1188) * CHOOSE(CONTROL!$C$15, $D$11, 100%, $F$11)</f>
        <v>7.1204000000000001</v>
      </c>
      <c r="I142" s="8">
        <f>CHOOSE( CONTROL!$C$32, 6.1734, 6.1718) * CHOOSE(CONTROL!$C$15, $D$11, 100%, $F$11)</f>
        <v>6.1734</v>
      </c>
      <c r="J142" s="4">
        <f>CHOOSE( CONTROL!$C$32, 6.0531, 6.0515) * CHOOSE(CONTROL!$C$15, $D$11, 100%, $F$11)</f>
        <v>6.0530999999999997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1.2509999999999999</v>
      </c>
      <c r="Q142" s="9">
        <v>31.393799999999999</v>
      </c>
      <c r="R142" s="9"/>
      <c r="S142" s="11"/>
    </row>
    <row r="143" spans="1:19" ht="15.75">
      <c r="A143" s="13">
        <v>45474</v>
      </c>
      <c r="B143" s="8">
        <f>CHOOSE( CONTROL!$C$32, 6.5166, 6.5149) * CHOOSE(CONTROL!$C$15, $D$11, 100%, $F$11)</f>
        <v>6.5166000000000004</v>
      </c>
      <c r="C143" s="8">
        <f>CHOOSE( CONTROL!$C$32, 6.5246, 6.5229) * CHOOSE(CONTROL!$C$15, $D$11, 100%, $F$11)</f>
        <v>6.5246000000000004</v>
      </c>
      <c r="D143" s="8">
        <f>CHOOSE( CONTROL!$C$32, 6.5218, 6.5201) * CHOOSE( CONTROL!$C$15, $D$11, 100%, $F$11)</f>
        <v>6.5217999999999998</v>
      </c>
      <c r="E143" s="12">
        <f>CHOOSE( CONTROL!$C$32, 6.5216, 6.5199) * CHOOSE( CONTROL!$C$15, $D$11, 100%, $F$11)</f>
        <v>6.5216000000000003</v>
      </c>
      <c r="F143" s="4">
        <f>CHOOSE( CONTROL!$C$32, 7.2235, 7.2219) * CHOOSE(CONTROL!$C$15, $D$11, 100%, $F$11)</f>
        <v>7.2234999999999996</v>
      </c>
      <c r="G143" s="8">
        <f>CHOOSE( CONTROL!$C$32, 6.4504, 6.4488) * CHOOSE( CONTROL!$C$15, $D$11, 100%, $F$11)</f>
        <v>6.4504000000000001</v>
      </c>
      <c r="H143" s="4">
        <f>CHOOSE( CONTROL!$C$32, 7.3856, 7.3839) * CHOOSE(CONTROL!$C$15, $D$11, 100%, $F$11)</f>
        <v>7.3856000000000002</v>
      </c>
      <c r="I143" s="8">
        <f>CHOOSE( CONTROL!$C$32, 6.4348, 6.4332) * CHOOSE(CONTROL!$C$15, $D$11, 100%, $F$11)</f>
        <v>6.4348000000000001</v>
      </c>
      <c r="J143" s="4">
        <f>CHOOSE( CONTROL!$C$32, 6.3135, 6.3119) * CHOOSE(CONTROL!$C$15, $D$11, 100%, $F$11)</f>
        <v>6.3135000000000003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1.2927</v>
      </c>
      <c r="Q143" s="9">
        <v>32.440300000000001</v>
      </c>
      <c r="R143" s="9"/>
      <c r="S143" s="11"/>
    </row>
    <row r="144" spans="1:19" ht="15.75">
      <c r="A144" s="13">
        <v>45505</v>
      </c>
      <c r="B144" s="8">
        <f>CHOOSE( CONTROL!$C$32, 6.0145, 6.0129) * CHOOSE(CONTROL!$C$15, $D$11, 100%, $F$11)</f>
        <v>6.0145</v>
      </c>
      <c r="C144" s="8">
        <f>CHOOSE( CONTROL!$C$32, 6.0225, 6.0209) * CHOOSE(CONTROL!$C$15, $D$11, 100%, $F$11)</f>
        <v>6.0225</v>
      </c>
      <c r="D144" s="8">
        <f>CHOOSE( CONTROL!$C$32, 6.0198, 6.0182) * CHOOSE( CONTROL!$C$15, $D$11, 100%, $F$11)</f>
        <v>6.0198</v>
      </c>
      <c r="E144" s="12">
        <f>CHOOSE( CONTROL!$C$32, 6.0196, 6.018) * CHOOSE( CONTROL!$C$15, $D$11, 100%, $F$11)</f>
        <v>6.0195999999999996</v>
      </c>
      <c r="F144" s="4">
        <f>CHOOSE( CONTROL!$C$32, 6.7215, 6.7198) * CHOOSE(CONTROL!$C$15, $D$11, 100%, $F$11)</f>
        <v>6.7214999999999998</v>
      </c>
      <c r="G144" s="8">
        <f>CHOOSE( CONTROL!$C$32, 5.9544, 5.9527) * CHOOSE( CONTROL!$C$15, $D$11, 100%, $F$11)</f>
        <v>5.9543999999999997</v>
      </c>
      <c r="H144" s="4">
        <f>CHOOSE( CONTROL!$C$32, 6.8894, 6.8878) * CHOOSE(CONTROL!$C$15, $D$11, 100%, $F$11)</f>
        <v>6.8894000000000002</v>
      </c>
      <c r="I144" s="8">
        <f>CHOOSE( CONTROL!$C$32, 5.9476, 5.946) * CHOOSE(CONTROL!$C$15, $D$11, 100%, $F$11)</f>
        <v>5.9476000000000004</v>
      </c>
      <c r="J144" s="4">
        <f>CHOOSE( CONTROL!$C$32, 5.8263, 5.8247) * CHOOSE(CONTROL!$C$15, $D$11, 100%, $F$11)</f>
        <v>5.8262999999999998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1.2927</v>
      </c>
      <c r="Q144" s="9">
        <v>32.440300000000001</v>
      </c>
      <c r="R144" s="9"/>
      <c r="S144" s="11"/>
    </row>
    <row r="145" spans="1:19" ht="15.75">
      <c r="A145" s="13">
        <v>45536</v>
      </c>
      <c r="B145" s="8">
        <f>CHOOSE( CONTROL!$C$32, 5.8888, 5.8872) * CHOOSE(CONTROL!$C$15, $D$11, 100%, $F$11)</f>
        <v>5.8887999999999998</v>
      </c>
      <c r="C145" s="8">
        <f>CHOOSE( CONTROL!$C$32, 5.8968, 5.8951) * CHOOSE(CONTROL!$C$15, $D$11, 100%, $F$11)</f>
        <v>5.8967999999999998</v>
      </c>
      <c r="D145" s="8">
        <f>CHOOSE( CONTROL!$C$32, 5.894, 5.8924) * CHOOSE( CONTROL!$C$15, $D$11, 100%, $F$11)</f>
        <v>5.8940000000000001</v>
      </c>
      <c r="E145" s="12">
        <f>CHOOSE( CONTROL!$C$32, 5.8938, 5.8922) * CHOOSE( CONTROL!$C$15, $D$11, 100%, $F$11)</f>
        <v>5.8937999999999997</v>
      </c>
      <c r="F145" s="4">
        <f>CHOOSE( CONTROL!$C$32, 6.5958, 6.5941) * CHOOSE(CONTROL!$C$15, $D$11, 100%, $F$11)</f>
        <v>6.5957999999999997</v>
      </c>
      <c r="G145" s="8">
        <f>CHOOSE( CONTROL!$C$32, 5.8301, 5.8284) * CHOOSE( CONTROL!$C$15, $D$11, 100%, $F$11)</f>
        <v>5.8300999999999998</v>
      </c>
      <c r="H145" s="4">
        <f>CHOOSE( CONTROL!$C$32, 6.7652, 6.7635) * CHOOSE(CONTROL!$C$15, $D$11, 100%, $F$11)</f>
        <v>6.7652000000000001</v>
      </c>
      <c r="I145" s="8">
        <f>CHOOSE( CONTROL!$C$32, 5.8254, 5.8238) * CHOOSE(CONTROL!$C$15, $D$11, 100%, $F$11)</f>
        <v>5.8254000000000001</v>
      </c>
      <c r="J145" s="4">
        <f>CHOOSE( CONTROL!$C$32, 5.7043, 5.7027) * CHOOSE(CONTROL!$C$15, $D$11, 100%, $F$11)</f>
        <v>5.7042999999999999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1.2509999999999999</v>
      </c>
      <c r="Q145" s="9">
        <v>31.393799999999999</v>
      </c>
      <c r="R145" s="9"/>
      <c r="S145" s="11"/>
    </row>
    <row r="146" spans="1:19" ht="15.75">
      <c r="A146" s="13">
        <v>45566</v>
      </c>
      <c r="B146" s="8">
        <f>CHOOSE( CONTROL!$C$32, 6.1476, 6.1465) * CHOOSE(CONTROL!$C$15, $D$11, 100%, $F$11)</f>
        <v>6.1475999999999997</v>
      </c>
      <c r="C146" s="8">
        <f>CHOOSE( CONTROL!$C$32, 6.1529, 6.1518) * CHOOSE(CONTROL!$C$15, $D$11, 100%, $F$11)</f>
        <v>6.1528999999999998</v>
      </c>
      <c r="D146" s="8">
        <f>CHOOSE( CONTROL!$C$32, 6.1558, 6.1547) * CHOOSE( CONTROL!$C$15, $D$11, 100%, $F$11)</f>
        <v>6.1558000000000002</v>
      </c>
      <c r="E146" s="12">
        <f>CHOOSE( CONTROL!$C$32, 6.1543, 6.1532) * CHOOSE( CONTROL!$C$15, $D$11, 100%, $F$11)</f>
        <v>6.1543000000000001</v>
      </c>
      <c r="F146" s="4">
        <f>CHOOSE( CONTROL!$C$32, 6.8562, 6.8551) * CHOOSE(CONTROL!$C$15, $D$11, 100%, $F$11)</f>
        <v>6.8562000000000003</v>
      </c>
      <c r="G146" s="8">
        <f>CHOOSE( CONTROL!$C$32, 6.0876, 6.0866) * CHOOSE( CONTROL!$C$15, $D$11, 100%, $F$11)</f>
        <v>6.0876000000000001</v>
      </c>
      <c r="H146" s="4">
        <f>CHOOSE( CONTROL!$C$32, 7.0226, 7.0215) * CHOOSE(CONTROL!$C$15, $D$11, 100%, $F$11)</f>
        <v>7.0225999999999997</v>
      </c>
      <c r="I146" s="8">
        <f>CHOOSE( CONTROL!$C$32, 6.0791, 6.078) * CHOOSE(CONTROL!$C$15, $D$11, 100%, $F$11)</f>
        <v>6.0791000000000004</v>
      </c>
      <c r="J146" s="4">
        <f>CHOOSE( CONTROL!$C$32, 5.9571, 5.956) * CHOOSE(CONTROL!$C$15, $D$11, 100%, $F$11)</f>
        <v>5.9570999999999996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1.2927</v>
      </c>
      <c r="Q146" s="9">
        <v>32.440300000000001</v>
      </c>
      <c r="R146" s="9"/>
      <c r="S146" s="11"/>
    </row>
    <row r="147" spans="1:19" ht="15.75">
      <c r="A147" s="13">
        <v>45597</v>
      </c>
      <c r="B147" s="8">
        <f>CHOOSE( CONTROL!$C$32, 6.629, 6.6279) * CHOOSE(CONTROL!$C$15, $D$11, 100%, $F$11)</f>
        <v>6.6289999999999996</v>
      </c>
      <c r="C147" s="8">
        <f>CHOOSE( CONTROL!$C$32, 6.634, 6.633) * CHOOSE(CONTROL!$C$15, $D$11, 100%, $F$11)</f>
        <v>6.6340000000000003</v>
      </c>
      <c r="D147" s="8">
        <f>CHOOSE( CONTROL!$C$32, 6.6162, 6.6151) * CHOOSE( CONTROL!$C$15, $D$11, 100%, $F$11)</f>
        <v>6.6162000000000001</v>
      </c>
      <c r="E147" s="12">
        <f>CHOOSE( CONTROL!$C$32, 6.6222, 6.6211) * CHOOSE( CONTROL!$C$15, $D$11, 100%, $F$11)</f>
        <v>6.6222000000000003</v>
      </c>
      <c r="F147" s="4">
        <f>CHOOSE( CONTROL!$C$32, 7.2942, 7.2932) * CHOOSE(CONTROL!$C$15, $D$11, 100%, $F$11)</f>
        <v>7.2942</v>
      </c>
      <c r="G147" s="8">
        <f>CHOOSE( CONTROL!$C$32, 6.5629, 6.5618) * CHOOSE( CONTROL!$C$15, $D$11, 100%, $F$11)</f>
        <v>6.5629</v>
      </c>
      <c r="H147" s="4">
        <f>CHOOSE( CONTROL!$C$32, 7.4555, 7.4544) * CHOOSE(CONTROL!$C$15, $D$11, 100%, $F$11)</f>
        <v>7.4554999999999998</v>
      </c>
      <c r="I147" s="8">
        <f>CHOOSE( CONTROL!$C$32, 6.6087, 6.6076) * CHOOSE(CONTROL!$C$15, $D$11, 100%, $F$11)</f>
        <v>6.6086999999999998</v>
      </c>
      <c r="J147" s="4">
        <f>CHOOSE( CONTROL!$C$32, 6.4247, 6.4236) * CHOOSE(CONTROL!$C$15, $D$11, 100%, $F$11)</f>
        <v>6.4246999999999996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31.393799999999999</v>
      </c>
      <c r="R147" s="9"/>
      <c r="S147" s="11"/>
    </row>
    <row r="148" spans="1:19" ht="15.75">
      <c r="A148" s="13">
        <v>45627</v>
      </c>
      <c r="B148" s="8">
        <f>CHOOSE( CONTROL!$C$32, 6.6169, 6.6158) * CHOOSE(CONTROL!$C$15, $D$11, 100%, $F$11)</f>
        <v>6.6169000000000002</v>
      </c>
      <c r="C148" s="8">
        <f>CHOOSE( CONTROL!$C$32, 6.622, 6.6209) * CHOOSE(CONTROL!$C$15, $D$11, 100%, $F$11)</f>
        <v>6.6219999999999999</v>
      </c>
      <c r="D148" s="8">
        <f>CHOOSE( CONTROL!$C$32, 6.6056, 6.6045) * CHOOSE( CONTROL!$C$15, $D$11, 100%, $F$11)</f>
        <v>6.6055999999999999</v>
      </c>
      <c r="E148" s="12">
        <f>CHOOSE( CONTROL!$C$32, 6.6111, 6.61) * CHOOSE( CONTROL!$C$15, $D$11, 100%, $F$11)</f>
        <v>6.6111000000000004</v>
      </c>
      <c r="F148" s="4">
        <f>CHOOSE( CONTROL!$C$32, 7.2822, 7.2811) * CHOOSE(CONTROL!$C$15, $D$11, 100%, $F$11)</f>
        <v>7.2821999999999996</v>
      </c>
      <c r="G148" s="8">
        <f>CHOOSE( CONTROL!$C$32, 6.552, 6.551) * CHOOSE( CONTROL!$C$15, $D$11, 100%, $F$11)</f>
        <v>6.5519999999999996</v>
      </c>
      <c r="H148" s="4">
        <f>CHOOSE( CONTROL!$C$32, 7.4436, 7.4425) * CHOOSE(CONTROL!$C$15, $D$11, 100%, $F$11)</f>
        <v>7.4436</v>
      </c>
      <c r="I148" s="8">
        <f>CHOOSE( CONTROL!$C$32, 6.6015, 6.6004) * CHOOSE(CONTROL!$C$15, $D$11, 100%, $F$11)</f>
        <v>6.6014999999999997</v>
      </c>
      <c r="J148" s="4">
        <f>CHOOSE( CONTROL!$C$32, 6.413, 6.4119) * CHOOSE(CONTROL!$C$15, $D$11, 100%, $F$11)</f>
        <v>6.4130000000000003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32.440300000000001</v>
      </c>
      <c r="R148" s="9"/>
      <c r="S148" s="11"/>
    </row>
    <row r="149" spans="1:19" ht="15.75">
      <c r="A149" s="13">
        <v>45658</v>
      </c>
      <c r="B149" s="8">
        <f>CHOOSE( CONTROL!$C$32, 6.8591, 6.858) * CHOOSE(CONTROL!$C$15, $D$11, 100%, $F$11)</f>
        <v>6.8590999999999998</v>
      </c>
      <c r="C149" s="8">
        <f>CHOOSE( CONTROL!$C$32, 6.8642, 6.8631) * CHOOSE(CONTROL!$C$15, $D$11, 100%, $F$11)</f>
        <v>6.8642000000000003</v>
      </c>
      <c r="D149" s="8">
        <f>CHOOSE( CONTROL!$C$32, 6.8429, 6.8418) * CHOOSE( CONTROL!$C$15, $D$11, 100%, $F$11)</f>
        <v>6.8429000000000002</v>
      </c>
      <c r="E149" s="12">
        <f>CHOOSE( CONTROL!$C$32, 6.8501, 6.849) * CHOOSE( CONTROL!$C$15, $D$11, 100%, $F$11)</f>
        <v>6.8501000000000003</v>
      </c>
      <c r="F149" s="4">
        <f>CHOOSE( CONTROL!$C$32, 7.5244, 7.5233) * CHOOSE(CONTROL!$C$15, $D$11, 100%, $F$11)</f>
        <v>7.5244</v>
      </c>
      <c r="G149" s="8">
        <f>CHOOSE( CONTROL!$C$32, 6.7809, 6.7798) * CHOOSE( CONTROL!$C$15, $D$11, 100%, $F$11)</f>
        <v>6.7808999999999999</v>
      </c>
      <c r="H149" s="4">
        <f>CHOOSE( CONTROL!$C$32, 7.6829, 7.6818) * CHOOSE(CONTROL!$C$15, $D$11, 100%, $F$11)</f>
        <v>7.6829000000000001</v>
      </c>
      <c r="I149" s="8">
        <f>CHOOSE( CONTROL!$C$32, 6.7987, 6.7976) * CHOOSE(CONTROL!$C$15, $D$11, 100%, $F$11)</f>
        <v>6.7987000000000002</v>
      </c>
      <c r="J149" s="4">
        <f>CHOOSE( CONTROL!$C$32, 6.648, 6.6469) * CHOOSE(CONTROL!$C$15, $D$11, 100%, $F$11)</f>
        <v>6.6479999999999997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32.254300000000001</v>
      </c>
      <c r="R149" s="9"/>
      <c r="S149" s="11"/>
    </row>
    <row r="150" spans="1:19" ht="15.75">
      <c r="A150" s="13">
        <v>45689</v>
      </c>
      <c r="B150" s="8">
        <f>CHOOSE( CONTROL!$C$32, 6.4163, 6.4152) * CHOOSE(CONTROL!$C$15, $D$11, 100%, $F$11)</f>
        <v>6.4162999999999997</v>
      </c>
      <c r="C150" s="8">
        <f>CHOOSE( CONTROL!$C$32, 6.4214, 6.4203) * CHOOSE(CONTROL!$C$15, $D$11, 100%, $F$11)</f>
        <v>6.4214000000000002</v>
      </c>
      <c r="D150" s="8">
        <f>CHOOSE( CONTROL!$C$32, 6.4, 6.3989) * CHOOSE( CONTROL!$C$15, $D$11, 100%, $F$11)</f>
        <v>6.4</v>
      </c>
      <c r="E150" s="12">
        <f>CHOOSE( CONTROL!$C$32, 6.4073, 6.4062) * CHOOSE( CONTROL!$C$15, $D$11, 100%, $F$11)</f>
        <v>6.4073000000000002</v>
      </c>
      <c r="F150" s="4">
        <f>CHOOSE( CONTROL!$C$32, 7.0816, 7.0805) * CHOOSE(CONTROL!$C$15, $D$11, 100%, $F$11)</f>
        <v>7.0815999999999999</v>
      </c>
      <c r="G150" s="8">
        <f>CHOOSE( CONTROL!$C$32, 6.3432, 6.3421) * CHOOSE( CONTROL!$C$15, $D$11, 100%, $F$11)</f>
        <v>6.3432000000000004</v>
      </c>
      <c r="H150" s="4">
        <f>CHOOSE( CONTROL!$C$32, 7.2453, 7.2442) * CHOOSE(CONTROL!$C$15, $D$11, 100%, $F$11)</f>
        <v>7.2453000000000003</v>
      </c>
      <c r="I150" s="8">
        <f>CHOOSE( CONTROL!$C$32, 6.3683, 6.3673) * CHOOSE(CONTROL!$C$15, $D$11, 100%, $F$11)</f>
        <v>6.3682999999999996</v>
      </c>
      <c r="J150" s="4">
        <f>CHOOSE( CONTROL!$C$32, 6.2183, 6.2172) * CHOOSE(CONTROL!$C$15, $D$11, 100%, $F$11)</f>
        <v>6.2183000000000002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29.132899999999999</v>
      </c>
      <c r="R150" s="9"/>
      <c r="S150" s="11"/>
    </row>
    <row r="151" spans="1:19" ht="15.75">
      <c r="A151" s="13">
        <v>45717</v>
      </c>
      <c r="B151" s="8">
        <f>CHOOSE( CONTROL!$C$32, 6.2799, 6.2789) * CHOOSE(CONTROL!$C$15, $D$11, 100%, $F$11)</f>
        <v>6.2798999999999996</v>
      </c>
      <c r="C151" s="8">
        <f>CHOOSE( CONTROL!$C$32, 6.285, 6.2839) * CHOOSE(CONTROL!$C$15, $D$11, 100%, $F$11)</f>
        <v>6.2850000000000001</v>
      </c>
      <c r="D151" s="8">
        <f>CHOOSE( CONTROL!$C$32, 6.263, 6.2619) * CHOOSE( CONTROL!$C$15, $D$11, 100%, $F$11)</f>
        <v>6.2629999999999999</v>
      </c>
      <c r="E151" s="12">
        <f>CHOOSE( CONTROL!$C$32, 6.2705, 6.2694) * CHOOSE( CONTROL!$C$15, $D$11, 100%, $F$11)</f>
        <v>6.2705000000000002</v>
      </c>
      <c r="F151" s="4">
        <f>CHOOSE( CONTROL!$C$32, 6.9452, 6.9441) * CHOOSE(CONTROL!$C$15, $D$11, 100%, $F$11)</f>
        <v>6.9451999999999998</v>
      </c>
      <c r="G151" s="8">
        <f>CHOOSE( CONTROL!$C$32, 6.208, 6.2069) * CHOOSE( CONTROL!$C$15, $D$11, 100%, $F$11)</f>
        <v>6.2080000000000002</v>
      </c>
      <c r="H151" s="4">
        <f>CHOOSE( CONTROL!$C$32, 7.1105, 7.1095) * CHOOSE(CONTROL!$C$15, $D$11, 100%, $F$11)</f>
        <v>7.1105</v>
      </c>
      <c r="I151" s="8">
        <f>CHOOSE( CONTROL!$C$32, 6.2339, 6.2329) * CHOOSE(CONTROL!$C$15, $D$11, 100%, $F$11)</f>
        <v>6.2339000000000002</v>
      </c>
      <c r="J151" s="4">
        <f>CHOOSE( CONTROL!$C$32, 6.0859, 6.0849) * CHOOSE(CONTROL!$C$15, $D$11, 100%, $F$11)</f>
        <v>6.0858999999999996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32.254300000000001</v>
      </c>
      <c r="R151" s="9"/>
      <c r="S151" s="11"/>
    </row>
    <row r="152" spans="1:19" ht="15.75">
      <c r="A152" s="13">
        <v>45748</v>
      </c>
      <c r="B152" s="8">
        <f>CHOOSE( CONTROL!$C$32, 6.376, 6.3749) * CHOOSE(CONTROL!$C$15, $D$11, 100%, $F$11)</f>
        <v>6.3760000000000003</v>
      </c>
      <c r="C152" s="8">
        <f>CHOOSE( CONTROL!$C$32, 6.3805, 6.3794) * CHOOSE(CONTROL!$C$15, $D$11, 100%, $F$11)</f>
        <v>6.3804999999999996</v>
      </c>
      <c r="D152" s="8">
        <f>CHOOSE( CONTROL!$C$32, 6.3834, 6.3823) * CHOOSE( CONTROL!$C$15, $D$11, 100%, $F$11)</f>
        <v>6.3834</v>
      </c>
      <c r="E152" s="12">
        <f>CHOOSE( CONTROL!$C$32, 6.3819, 6.3808) * CHOOSE( CONTROL!$C$15, $D$11, 100%, $F$11)</f>
        <v>6.3818999999999999</v>
      </c>
      <c r="F152" s="4">
        <f>CHOOSE( CONTROL!$C$32, 7.0843, 7.0832) * CHOOSE(CONTROL!$C$15, $D$11, 100%, $F$11)</f>
        <v>7.0842999999999998</v>
      </c>
      <c r="G152" s="8">
        <f>CHOOSE( CONTROL!$C$32, 6.3126, 6.3116) * CHOOSE( CONTROL!$C$15, $D$11, 100%, $F$11)</f>
        <v>6.3125999999999998</v>
      </c>
      <c r="H152" s="4">
        <f>CHOOSE( CONTROL!$C$32, 7.248, 7.2469) * CHOOSE(CONTROL!$C$15, $D$11, 100%, $F$11)</f>
        <v>7.2480000000000002</v>
      </c>
      <c r="I152" s="8">
        <f>CHOOSE( CONTROL!$C$32, 6.2987, 6.2977) * CHOOSE(CONTROL!$C$15, $D$11, 100%, $F$11)</f>
        <v>6.2987000000000002</v>
      </c>
      <c r="J152" s="4">
        <f>CHOOSE( CONTROL!$C$32, 6.1784, 6.1774) * CHOOSE(CONTROL!$C$15, $D$11, 100%, $F$11)</f>
        <v>6.1783999999999999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1.2509999999999999</v>
      </c>
      <c r="Q152" s="9">
        <v>31.213799999999999</v>
      </c>
      <c r="R152" s="9"/>
      <c r="S152" s="11"/>
    </row>
    <row r="153" spans="1:19" ht="15.75">
      <c r="A153" s="13">
        <v>45778</v>
      </c>
      <c r="B153" s="8">
        <f>CHOOSE( CONTROL!$C$32, 6.5475, 6.5459) * CHOOSE(CONTROL!$C$15, $D$11, 100%, $F$11)</f>
        <v>6.5475000000000003</v>
      </c>
      <c r="C153" s="8">
        <f>CHOOSE( CONTROL!$C$32, 6.5555, 6.5539) * CHOOSE(CONTROL!$C$15, $D$11, 100%, $F$11)</f>
        <v>6.5555000000000003</v>
      </c>
      <c r="D153" s="8">
        <f>CHOOSE( CONTROL!$C$32, 6.5523, 6.5506) * CHOOSE( CONTROL!$C$15, $D$11, 100%, $F$11)</f>
        <v>6.5522999999999998</v>
      </c>
      <c r="E153" s="12">
        <f>CHOOSE( CONTROL!$C$32, 6.5522, 6.5506) * CHOOSE( CONTROL!$C$15, $D$11, 100%, $F$11)</f>
        <v>6.5522</v>
      </c>
      <c r="F153" s="4">
        <f>CHOOSE( CONTROL!$C$32, 7.2545, 7.2528) * CHOOSE(CONTROL!$C$15, $D$11, 100%, $F$11)</f>
        <v>7.2545000000000002</v>
      </c>
      <c r="G153" s="8">
        <f>CHOOSE( CONTROL!$C$32, 6.4807, 6.479) * CHOOSE( CONTROL!$C$15, $D$11, 100%, $F$11)</f>
        <v>6.4806999999999997</v>
      </c>
      <c r="H153" s="4">
        <f>CHOOSE( CONTROL!$C$32, 7.4162, 7.4145) * CHOOSE(CONTROL!$C$15, $D$11, 100%, $F$11)</f>
        <v>7.4161999999999999</v>
      </c>
      <c r="I153" s="8">
        <f>CHOOSE( CONTROL!$C$32, 6.4632, 6.4616) * CHOOSE(CONTROL!$C$15, $D$11, 100%, $F$11)</f>
        <v>6.4631999999999996</v>
      </c>
      <c r="J153" s="4">
        <f>CHOOSE( CONTROL!$C$32, 6.3436, 6.342) * CHOOSE(CONTROL!$C$15, $D$11, 100%, $F$11)</f>
        <v>6.3436000000000003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1.2927</v>
      </c>
      <c r="Q153" s="9">
        <v>32.254300000000001</v>
      </c>
      <c r="R153" s="9"/>
      <c r="S153" s="11"/>
    </row>
    <row r="154" spans="1:19" ht="15.75">
      <c r="A154" s="13">
        <v>45809</v>
      </c>
      <c r="B154" s="8">
        <f>CHOOSE( CONTROL!$C$32, 6.4425, 6.4408) * CHOOSE(CONTROL!$C$15, $D$11, 100%, $F$11)</f>
        <v>6.4424999999999999</v>
      </c>
      <c r="C154" s="8">
        <f>CHOOSE( CONTROL!$C$32, 6.4505, 6.4488) * CHOOSE(CONTROL!$C$15, $D$11, 100%, $F$11)</f>
        <v>6.4504999999999999</v>
      </c>
      <c r="D154" s="8">
        <f>CHOOSE( CONTROL!$C$32, 6.4474, 6.4458) * CHOOSE( CONTROL!$C$15, $D$11, 100%, $F$11)</f>
        <v>6.4474</v>
      </c>
      <c r="E154" s="12">
        <f>CHOOSE( CONTROL!$C$32, 6.4473, 6.4457) * CHOOSE( CONTROL!$C$15, $D$11, 100%, $F$11)</f>
        <v>6.4473000000000003</v>
      </c>
      <c r="F154" s="4">
        <f>CHOOSE( CONTROL!$C$32, 7.1494, 7.1478) * CHOOSE(CONTROL!$C$15, $D$11, 100%, $F$11)</f>
        <v>7.1494</v>
      </c>
      <c r="G154" s="8">
        <f>CHOOSE( CONTROL!$C$32, 6.377, 6.3754) * CHOOSE( CONTROL!$C$15, $D$11, 100%, $F$11)</f>
        <v>6.3769999999999998</v>
      </c>
      <c r="H154" s="4">
        <f>CHOOSE( CONTROL!$C$32, 7.3123, 7.3107) * CHOOSE(CONTROL!$C$15, $D$11, 100%, $F$11)</f>
        <v>7.3122999999999996</v>
      </c>
      <c r="I154" s="8">
        <f>CHOOSE( CONTROL!$C$32, 6.362, 6.3604) * CHOOSE(CONTROL!$C$15, $D$11, 100%, $F$11)</f>
        <v>6.3620000000000001</v>
      </c>
      <c r="J154" s="4">
        <f>CHOOSE( CONTROL!$C$32, 6.2416, 6.24) * CHOOSE(CONTROL!$C$15, $D$11, 100%, $F$11)</f>
        <v>6.2416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1.2509999999999999</v>
      </c>
      <c r="Q154" s="9">
        <v>31.213799999999999</v>
      </c>
      <c r="R154" s="9"/>
      <c r="S154" s="11"/>
    </row>
    <row r="155" spans="1:19" ht="15.75">
      <c r="A155" s="13">
        <v>45839</v>
      </c>
      <c r="B155" s="8">
        <f>CHOOSE( CONTROL!$C$32, 6.7192, 6.7175) * CHOOSE(CONTROL!$C$15, $D$11, 100%, $F$11)</f>
        <v>6.7191999999999998</v>
      </c>
      <c r="C155" s="8">
        <f>CHOOSE( CONTROL!$C$32, 6.7271, 6.7255) * CHOOSE(CONTROL!$C$15, $D$11, 100%, $F$11)</f>
        <v>6.7271000000000001</v>
      </c>
      <c r="D155" s="8">
        <f>CHOOSE( CONTROL!$C$32, 6.7243, 6.7227) * CHOOSE( CONTROL!$C$15, $D$11, 100%, $F$11)</f>
        <v>6.7243000000000004</v>
      </c>
      <c r="E155" s="12">
        <f>CHOOSE( CONTROL!$C$32, 6.7241, 6.7225) * CHOOSE( CONTROL!$C$15, $D$11, 100%, $F$11)</f>
        <v>6.7241</v>
      </c>
      <c r="F155" s="4">
        <f>CHOOSE( CONTROL!$C$32, 7.4261, 7.4244) * CHOOSE(CONTROL!$C$15, $D$11, 100%, $F$11)</f>
        <v>7.4260999999999999</v>
      </c>
      <c r="G155" s="8">
        <f>CHOOSE( CONTROL!$C$32, 6.6506, 6.649) * CHOOSE( CONTROL!$C$15, $D$11, 100%, $F$11)</f>
        <v>6.6505999999999998</v>
      </c>
      <c r="H155" s="4">
        <f>CHOOSE( CONTROL!$C$32, 7.5858, 7.5841) * CHOOSE(CONTROL!$C$15, $D$11, 100%, $F$11)</f>
        <v>7.5857999999999999</v>
      </c>
      <c r="I155" s="8">
        <f>CHOOSE( CONTROL!$C$32, 6.6315, 6.6299) * CHOOSE(CONTROL!$C$15, $D$11, 100%, $F$11)</f>
        <v>6.6315</v>
      </c>
      <c r="J155" s="4">
        <f>CHOOSE( CONTROL!$C$32, 6.5101, 6.5085) * CHOOSE(CONTROL!$C$15, $D$11, 100%, $F$11)</f>
        <v>6.5101000000000004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1.2927</v>
      </c>
      <c r="Q155" s="9">
        <v>32.254300000000001</v>
      </c>
      <c r="R155" s="9"/>
      <c r="S155" s="11"/>
    </row>
    <row r="156" spans="1:19" ht="15.75">
      <c r="A156" s="13">
        <v>45870</v>
      </c>
      <c r="B156" s="8">
        <f>CHOOSE( CONTROL!$C$32, 6.2015, 6.1998) * CHOOSE(CONTROL!$C$15, $D$11, 100%, $F$11)</f>
        <v>6.2015000000000002</v>
      </c>
      <c r="C156" s="8">
        <f>CHOOSE( CONTROL!$C$32, 6.2094, 6.2078) * CHOOSE(CONTROL!$C$15, $D$11, 100%, $F$11)</f>
        <v>6.2093999999999996</v>
      </c>
      <c r="D156" s="8">
        <f>CHOOSE( CONTROL!$C$32, 6.2068, 6.2051) * CHOOSE( CONTROL!$C$15, $D$11, 100%, $F$11)</f>
        <v>6.2068000000000003</v>
      </c>
      <c r="E156" s="12">
        <f>CHOOSE( CONTROL!$C$32, 6.2065, 6.2049) * CHOOSE( CONTROL!$C$15, $D$11, 100%, $F$11)</f>
        <v>6.2065000000000001</v>
      </c>
      <c r="F156" s="4">
        <f>CHOOSE( CONTROL!$C$32, 6.9084, 6.9068) * CHOOSE(CONTROL!$C$15, $D$11, 100%, $F$11)</f>
        <v>6.9084000000000003</v>
      </c>
      <c r="G156" s="8">
        <f>CHOOSE( CONTROL!$C$32, 6.1391, 6.1375) * CHOOSE( CONTROL!$C$15, $D$11, 100%, $F$11)</f>
        <v>6.1391</v>
      </c>
      <c r="H156" s="4">
        <f>CHOOSE( CONTROL!$C$32, 7.0742, 7.0725) * CHOOSE(CONTROL!$C$15, $D$11, 100%, $F$11)</f>
        <v>7.0742000000000003</v>
      </c>
      <c r="I156" s="8">
        <f>CHOOSE( CONTROL!$C$32, 6.1291, 6.1275) * CHOOSE(CONTROL!$C$15, $D$11, 100%, $F$11)</f>
        <v>6.1291000000000002</v>
      </c>
      <c r="J156" s="4">
        <f>CHOOSE( CONTROL!$C$32, 6.0077, 6.0061) * CHOOSE(CONTROL!$C$15, $D$11, 100%, $F$11)</f>
        <v>6.0076999999999998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1.2927</v>
      </c>
      <c r="Q156" s="9">
        <v>32.254300000000001</v>
      </c>
      <c r="R156" s="9"/>
      <c r="S156" s="11"/>
    </row>
    <row r="157" spans="1:19" ht="15.75">
      <c r="A157" s="13">
        <v>45901</v>
      </c>
      <c r="B157" s="8">
        <f>CHOOSE( CONTROL!$C$32, 6.0718, 6.0702) * CHOOSE(CONTROL!$C$15, $D$11, 100%, $F$11)</f>
        <v>6.0717999999999996</v>
      </c>
      <c r="C157" s="8">
        <f>CHOOSE( CONTROL!$C$32, 6.0798, 6.0782) * CHOOSE(CONTROL!$C$15, $D$11, 100%, $F$11)</f>
        <v>6.0797999999999996</v>
      </c>
      <c r="D157" s="8">
        <f>CHOOSE( CONTROL!$C$32, 6.0771, 6.0754) * CHOOSE( CONTROL!$C$15, $D$11, 100%, $F$11)</f>
        <v>6.0770999999999997</v>
      </c>
      <c r="E157" s="12">
        <f>CHOOSE( CONTROL!$C$32, 6.0769, 6.0752) * CHOOSE( CONTROL!$C$15, $D$11, 100%, $F$11)</f>
        <v>6.0769000000000002</v>
      </c>
      <c r="F157" s="4">
        <f>CHOOSE( CONTROL!$C$32, 6.7788, 6.7771) * CHOOSE(CONTROL!$C$15, $D$11, 100%, $F$11)</f>
        <v>6.7788000000000004</v>
      </c>
      <c r="G157" s="8">
        <f>CHOOSE( CONTROL!$C$32, 6.011, 6.0093) * CHOOSE( CONTROL!$C$15, $D$11, 100%, $F$11)</f>
        <v>6.0110000000000001</v>
      </c>
      <c r="H157" s="4">
        <f>CHOOSE( CONTROL!$C$32, 6.946, 6.9444) * CHOOSE(CONTROL!$C$15, $D$11, 100%, $F$11)</f>
        <v>6.9459999999999997</v>
      </c>
      <c r="I157" s="8">
        <f>CHOOSE( CONTROL!$C$32, 6.0031, 6.0015) * CHOOSE(CONTROL!$C$15, $D$11, 100%, $F$11)</f>
        <v>6.0030999999999999</v>
      </c>
      <c r="J157" s="4">
        <f>CHOOSE( CONTROL!$C$32, 5.8819, 5.8803) * CHOOSE(CONTROL!$C$15, $D$11, 100%, $F$11)</f>
        <v>5.8818999999999999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1.2509999999999999</v>
      </c>
      <c r="Q157" s="9">
        <v>31.213799999999999</v>
      </c>
      <c r="R157" s="9"/>
      <c r="S157" s="11"/>
    </row>
    <row r="158" spans="1:19" ht="15.75">
      <c r="A158" s="13">
        <v>45931</v>
      </c>
      <c r="B158" s="8">
        <f>CHOOSE( CONTROL!$C$32, 6.3387, 6.3376) * CHOOSE(CONTROL!$C$15, $D$11, 100%, $F$11)</f>
        <v>6.3387000000000002</v>
      </c>
      <c r="C158" s="8">
        <f>CHOOSE( CONTROL!$C$32, 6.344, 6.343) * CHOOSE(CONTROL!$C$15, $D$11, 100%, $F$11)</f>
        <v>6.3440000000000003</v>
      </c>
      <c r="D158" s="8">
        <f>CHOOSE( CONTROL!$C$32, 6.3469, 6.3459) * CHOOSE( CONTROL!$C$15, $D$11, 100%, $F$11)</f>
        <v>6.3468999999999998</v>
      </c>
      <c r="E158" s="12">
        <f>CHOOSE( CONTROL!$C$32, 6.3454, 6.3444) * CHOOSE( CONTROL!$C$15, $D$11, 100%, $F$11)</f>
        <v>6.3453999999999997</v>
      </c>
      <c r="F158" s="4">
        <f>CHOOSE( CONTROL!$C$32, 7.0474, 7.0463) * CHOOSE(CONTROL!$C$15, $D$11, 100%, $F$11)</f>
        <v>7.0473999999999997</v>
      </c>
      <c r="G158" s="8">
        <f>CHOOSE( CONTROL!$C$32, 6.2765, 6.2755) * CHOOSE( CONTROL!$C$15, $D$11, 100%, $F$11)</f>
        <v>6.2765000000000004</v>
      </c>
      <c r="H158" s="4">
        <f>CHOOSE( CONTROL!$C$32, 7.2115, 7.2104) * CHOOSE(CONTROL!$C$15, $D$11, 100%, $F$11)</f>
        <v>7.2115</v>
      </c>
      <c r="I158" s="8">
        <f>CHOOSE( CONTROL!$C$32, 6.2647, 6.2637) * CHOOSE(CONTROL!$C$15, $D$11, 100%, $F$11)</f>
        <v>6.2647000000000004</v>
      </c>
      <c r="J158" s="4">
        <f>CHOOSE( CONTROL!$C$32, 6.1426, 6.1415) * CHOOSE(CONTROL!$C$15, $D$11, 100%, $F$11)</f>
        <v>6.1425999999999998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1.2927</v>
      </c>
      <c r="Q158" s="9">
        <v>32.254300000000001</v>
      </c>
      <c r="R158" s="9"/>
      <c r="S158" s="11"/>
    </row>
    <row r="159" spans="1:19" ht="15.75">
      <c r="A159" s="13">
        <v>45962</v>
      </c>
      <c r="B159" s="8">
        <f>CHOOSE( CONTROL!$C$32, 6.8351, 6.834) * CHOOSE(CONTROL!$C$15, $D$11, 100%, $F$11)</f>
        <v>6.8350999999999997</v>
      </c>
      <c r="C159" s="8">
        <f>CHOOSE( CONTROL!$C$32, 6.8402, 6.8391) * CHOOSE(CONTROL!$C$15, $D$11, 100%, $F$11)</f>
        <v>6.8402000000000003</v>
      </c>
      <c r="D159" s="8">
        <f>CHOOSE( CONTROL!$C$32, 6.8224, 6.8213) * CHOOSE( CONTROL!$C$15, $D$11, 100%, $F$11)</f>
        <v>6.8224</v>
      </c>
      <c r="E159" s="12">
        <f>CHOOSE( CONTROL!$C$32, 6.8284, 6.8273) * CHOOSE( CONTROL!$C$15, $D$11, 100%, $F$11)</f>
        <v>6.8284000000000002</v>
      </c>
      <c r="F159" s="4">
        <f>CHOOSE( CONTROL!$C$32, 7.5004, 7.4993) * CHOOSE(CONTROL!$C$15, $D$11, 100%, $F$11)</f>
        <v>7.5004</v>
      </c>
      <c r="G159" s="8">
        <f>CHOOSE( CONTROL!$C$32, 6.7667, 6.7656) * CHOOSE( CONTROL!$C$15, $D$11, 100%, $F$11)</f>
        <v>6.7667000000000002</v>
      </c>
      <c r="H159" s="4">
        <f>CHOOSE( CONTROL!$C$32, 7.6592, 7.6581) * CHOOSE(CONTROL!$C$15, $D$11, 100%, $F$11)</f>
        <v>7.6592000000000002</v>
      </c>
      <c r="I159" s="8">
        <f>CHOOSE( CONTROL!$C$32, 6.8089, 6.8078) * CHOOSE(CONTROL!$C$15, $D$11, 100%, $F$11)</f>
        <v>6.8089000000000004</v>
      </c>
      <c r="J159" s="4">
        <f>CHOOSE( CONTROL!$C$32, 6.6247, 6.6237) * CHOOSE(CONTROL!$C$15, $D$11, 100%, $F$11)</f>
        <v>6.6246999999999998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31.213799999999999</v>
      </c>
      <c r="R159" s="9"/>
      <c r="S159" s="11"/>
    </row>
    <row r="160" spans="1:19" ht="15.75">
      <c r="A160" s="13">
        <v>45992</v>
      </c>
      <c r="B160" s="8">
        <f>CHOOSE( CONTROL!$C$32, 6.8227, 6.8216) * CHOOSE(CONTROL!$C$15, $D$11, 100%, $F$11)</f>
        <v>6.8227000000000002</v>
      </c>
      <c r="C160" s="8">
        <f>CHOOSE( CONTROL!$C$32, 6.8278, 6.8267) * CHOOSE(CONTROL!$C$15, $D$11, 100%, $F$11)</f>
        <v>6.8277999999999999</v>
      </c>
      <c r="D160" s="8">
        <f>CHOOSE( CONTROL!$C$32, 6.8114, 6.8103) * CHOOSE( CONTROL!$C$15, $D$11, 100%, $F$11)</f>
        <v>6.8113999999999999</v>
      </c>
      <c r="E160" s="12">
        <f>CHOOSE( CONTROL!$C$32, 6.8169, 6.8158) * CHOOSE( CONTROL!$C$15, $D$11, 100%, $F$11)</f>
        <v>6.8169000000000004</v>
      </c>
      <c r="F160" s="4">
        <f>CHOOSE( CONTROL!$C$32, 7.488, 7.4869) * CHOOSE(CONTROL!$C$15, $D$11, 100%, $F$11)</f>
        <v>7.4880000000000004</v>
      </c>
      <c r="G160" s="8">
        <f>CHOOSE( CONTROL!$C$32, 6.7554, 6.7543) * CHOOSE( CONTROL!$C$15, $D$11, 100%, $F$11)</f>
        <v>6.7553999999999998</v>
      </c>
      <c r="H160" s="4">
        <f>CHOOSE( CONTROL!$C$32, 7.6469, 7.6459) * CHOOSE(CONTROL!$C$15, $D$11, 100%, $F$11)</f>
        <v>7.6468999999999996</v>
      </c>
      <c r="I160" s="8">
        <f>CHOOSE( CONTROL!$C$32, 6.8013, 6.8002) * CHOOSE(CONTROL!$C$15, $D$11, 100%, $F$11)</f>
        <v>6.8013000000000003</v>
      </c>
      <c r="J160" s="4">
        <f>CHOOSE( CONTROL!$C$32, 6.6127, 6.6116) * CHOOSE(CONTROL!$C$15, $D$11, 100%, $F$11)</f>
        <v>6.6127000000000002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32.254300000000001</v>
      </c>
      <c r="R160" s="9"/>
      <c r="S160" s="11"/>
    </row>
    <row r="161" spans="1:19" ht="15.75">
      <c r="A161" s="13">
        <v>46023</v>
      </c>
      <c r="B161" s="8">
        <f>CHOOSE( CONTROL!$C$32, 7.066, 7.0649) * CHOOSE(CONTROL!$C$15, $D$11, 100%, $F$11)</f>
        <v>7.0659999999999998</v>
      </c>
      <c r="C161" s="8">
        <f>CHOOSE( CONTROL!$C$32, 7.0711, 7.07) * CHOOSE(CONTROL!$C$15, $D$11, 100%, $F$11)</f>
        <v>7.0711000000000004</v>
      </c>
      <c r="D161" s="8">
        <f>CHOOSE( CONTROL!$C$32, 7.0498, 7.0487) * CHOOSE( CONTROL!$C$15, $D$11, 100%, $F$11)</f>
        <v>7.0498000000000003</v>
      </c>
      <c r="E161" s="12">
        <f>CHOOSE( CONTROL!$C$32, 7.057, 7.0559) * CHOOSE( CONTROL!$C$15, $D$11, 100%, $F$11)</f>
        <v>7.0570000000000004</v>
      </c>
      <c r="F161" s="4">
        <f>CHOOSE( CONTROL!$C$32, 7.7313, 7.7302) * CHOOSE(CONTROL!$C$15, $D$11, 100%, $F$11)</f>
        <v>7.7313000000000001</v>
      </c>
      <c r="G161" s="8">
        <f>CHOOSE( CONTROL!$C$32, 6.9854, 6.9843) * CHOOSE( CONTROL!$C$15, $D$11, 100%, $F$11)</f>
        <v>6.9854000000000003</v>
      </c>
      <c r="H161" s="4">
        <f>CHOOSE( CONTROL!$C$32, 7.8874, 7.8863) * CHOOSE(CONTROL!$C$15, $D$11, 100%, $F$11)</f>
        <v>7.8874000000000004</v>
      </c>
      <c r="I161" s="8">
        <f>CHOOSE( CONTROL!$C$32, 6.9995, 6.9985) * CHOOSE(CONTROL!$C$15, $D$11, 100%, $F$11)</f>
        <v>6.9995000000000003</v>
      </c>
      <c r="J161" s="4">
        <f>CHOOSE( CONTROL!$C$32, 6.8488, 6.8477) * CHOOSE(CONTROL!$C$15, $D$11, 100%, $F$11)</f>
        <v>6.8487999999999998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32.070099999999996</v>
      </c>
      <c r="R161" s="9"/>
      <c r="S161" s="11"/>
    </row>
    <row r="162" spans="1:19" ht="15.75">
      <c r="A162" s="13">
        <v>46054</v>
      </c>
      <c r="B162" s="8">
        <f>CHOOSE( CONTROL!$C$32, 6.6098, 6.6087) * CHOOSE(CONTROL!$C$15, $D$11, 100%, $F$11)</f>
        <v>6.6097999999999999</v>
      </c>
      <c r="C162" s="8">
        <f>CHOOSE( CONTROL!$C$32, 6.6149, 6.6138) * CHOOSE(CONTROL!$C$15, $D$11, 100%, $F$11)</f>
        <v>6.6148999999999996</v>
      </c>
      <c r="D162" s="8">
        <f>CHOOSE( CONTROL!$C$32, 6.5935, 6.5924) * CHOOSE( CONTROL!$C$15, $D$11, 100%, $F$11)</f>
        <v>6.5934999999999997</v>
      </c>
      <c r="E162" s="12">
        <f>CHOOSE( CONTROL!$C$32, 6.6008, 6.5997) * CHOOSE( CONTROL!$C$15, $D$11, 100%, $F$11)</f>
        <v>6.6007999999999996</v>
      </c>
      <c r="F162" s="4">
        <f>CHOOSE( CONTROL!$C$32, 7.2751, 7.274) * CHOOSE(CONTROL!$C$15, $D$11, 100%, $F$11)</f>
        <v>7.2751000000000001</v>
      </c>
      <c r="G162" s="8">
        <f>CHOOSE( CONTROL!$C$32, 6.5344, 6.5334) * CHOOSE( CONTROL!$C$15, $D$11, 100%, $F$11)</f>
        <v>6.5343999999999998</v>
      </c>
      <c r="H162" s="4">
        <f>CHOOSE( CONTROL!$C$32, 7.4366, 7.4355) * CHOOSE(CONTROL!$C$15, $D$11, 100%, $F$11)</f>
        <v>7.4366000000000003</v>
      </c>
      <c r="I162" s="8">
        <f>CHOOSE( CONTROL!$C$32, 6.5562, 6.5552) * CHOOSE(CONTROL!$C$15, $D$11, 100%, $F$11)</f>
        <v>6.5561999999999996</v>
      </c>
      <c r="J162" s="4">
        <f>CHOOSE( CONTROL!$C$32, 6.4061, 6.405) * CHOOSE(CONTROL!$C$15, $D$11, 100%, $F$11)</f>
        <v>6.4061000000000003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28.9666</v>
      </c>
      <c r="R162" s="9"/>
      <c r="S162" s="11"/>
    </row>
    <row r="163" spans="1:19" ht="15.75">
      <c r="A163" s="13">
        <v>46082</v>
      </c>
      <c r="B163" s="8">
        <f>CHOOSE( CONTROL!$C$32, 6.4693, 6.4683) * CHOOSE(CONTROL!$C$15, $D$11, 100%, $F$11)</f>
        <v>6.4692999999999996</v>
      </c>
      <c r="C163" s="8">
        <f>CHOOSE( CONTROL!$C$32, 6.4744, 6.4733) * CHOOSE(CONTROL!$C$15, $D$11, 100%, $F$11)</f>
        <v>6.4744000000000002</v>
      </c>
      <c r="D163" s="8">
        <f>CHOOSE( CONTROL!$C$32, 6.4524, 6.4513) * CHOOSE( CONTROL!$C$15, $D$11, 100%, $F$11)</f>
        <v>6.4523999999999999</v>
      </c>
      <c r="E163" s="12">
        <f>CHOOSE( CONTROL!$C$32, 6.4599, 6.4588) * CHOOSE( CONTROL!$C$15, $D$11, 100%, $F$11)</f>
        <v>6.4599000000000002</v>
      </c>
      <c r="F163" s="4">
        <f>CHOOSE( CONTROL!$C$32, 7.1346, 7.1335) * CHOOSE(CONTROL!$C$15, $D$11, 100%, $F$11)</f>
        <v>7.1345999999999998</v>
      </c>
      <c r="G163" s="8">
        <f>CHOOSE( CONTROL!$C$32, 6.3951, 6.3941) * CHOOSE( CONTROL!$C$15, $D$11, 100%, $F$11)</f>
        <v>6.3951000000000002</v>
      </c>
      <c r="H163" s="4">
        <f>CHOOSE( CONTROL!$C$32, 7.2977, 7.2966) * CHOOSE(CONTROL!$C$15, $D$11, 100%, $F$11)</f>
        <v>7.2976999999999999</v>
      </c>
      <c r="I163" s="8">
        <f>CHOOSE( CONTROL!$C$32, 6.4178, 6.4168) * CHOOSE(CONTROL!$C$15, $D$11, 100%, $F$11)</f>
        <v>6.4177999999999997</v>
      </c>
      <c r="J163" s="4">
        <f>CHOOSE( CONTROL!$C$32, 6.2697, 6.2687) * CHOOSE(CONTROL!$C$15, $D$11, 100%, $F$11)</f>
        <v>6.2697000000000003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32.070099999999996</v>
      </c>
      <c r="R163" s="9"/>
      <c r="S163" s="11"/>
    </row>
    <row r="164" spans="1:19" ht="15.75">
      <c r="A164" s="13">
        <v>46113</v>
      </c>
      <c r="B164" s="8">
        <f>CHOOSE( CONTROL!$C$32, 6.5683, 6.5672) * CHOOSE(CONTROL!$C$15, $D$11, 100%, $F$11)</f>
        <v>6.5682999999999998</v>
      </c>
      <c r="C164" s="8">
        <f>CHOOSE( CONTROL!$C$32, 6.5728, 6.5717) * CHOOSE(CONTROL!$C$15, $D$11, 100%, $F$11)</f>
        <v>6.5728</v>
      </c>
      <c r="D164" s="8">
        <f>CHOOSE( CONTROL!$C$32, 6.5756, 6.5745) * CHOOSE( CONTROL!$C$15, $D$11, 100%, $F$11)</f>
        <v>6.5755999999999997</v>
      </c>
      <c r="E164" s="12">
        <f>CHOOSE( CONTROL!$C$32, 6.5742, 6.5731) * CHOOSE( CONTROL!$C$15, $D$11, 100%, $F$11)</f>
        <v>6.5742000000000003</v>
      </c>
      <c r="F164" s="4">
        <f>CHOOSE( CONTROL!$C$32, 7.2766, 7.2755) * CHOOSE(CONTROL!$C$15, $D$11, 100%, $F$11)</f>
        <v>7.2766000000000002</v>
      </c>
      <c r="G164" s="8">
        <f>CHOOSE( CONTROL!$C$32, 6.5026, 6.5016) * CHOOSE( CONTROL!$C$15, $D$11, 100%, $F$11)</f>
        <v>6.5026000000000002</v>
      </c>
      <c r="H164" s="4">
        <f>CHOOSE( CONTROL!$C$32, 7.438, 7.4369) * CHOOSE(CONTROL!$C$15, $D$11, 100%, $F$11)</f>
        <v>7.4379999999999997</v>
      </c>
      <c r="I164" s="8">
        <f>CHOOSE( CONTROL!$C$32, 6.4854, 6.4843) * CHOOSE(CONTROL!$C$15, $D$11, 100%, $F$11)</f>
        <v>6.4854000000000003</v>
      </c>
      <c r="J164" s="4">
        <f>CHOOSE( CONTROL!$C$32, 6.365, 6.364) * CHOOSE(CONTROL!$C$15, $D$11, 100%, $F$11)</f>
        <v>6.3650000000000002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1.2509999999999999</v>
      </c>
      <c r="Q164" s="9">
        <v>31.035599999999999</v>
      </c>
      <c r="R164" s="9"/>
      <c r="S164" s="11"/>
    </row>
    <row r="165" spans="1:19" ht="15.75">
      <c r="A165" s="13">
        <v>46143</v>
      </c>
      <c r="B165" s="8">
        <f>CHOOSE( CONTROL!$C$32, 6.7449, 6.7433) * CHOOSE(CONTROL!$C$15, $D$11, 100%, $F$11)</f>
        <v>6.7449000000000003</v>
      </c>
      <c r="C165" s="8">
        <f>CHOOSE( CONTROL!$C$32, 6.7529, 6.7513) * CHOOSE(CONTROL!$C$15, $D$11, 100%, $F$11)</f>
        <v>6.7529000000000003</v>
      </c>
      <c r="D165" s="8">
        <f>CHOOSE( CONTROL!$C$32, 6.7497, 6.748) * CHOOSE( CONTROL!$C$15, $D$11, 100%, $F$11)</f>
        <v>6.7496999999999998</v>
      </c>
      <c r="E165" s="12">
        <f>CHOOSE( CONTROL!$C$32, 6.7496, 6.748) * CHOOSE( CONTROL!$C$15, $D$11, 100%, $F$11)</f>
        <v>6.7496</v>
      </c>
      <c r="F165" s="4">
        <f>CHOOSE( CONTROL!$C$32, 7.4519, 7.4502) * CHOOSE(CONTROL!$C$15, $D$11, 100%, $F$11)</f>
        <v>7.4519000000000002</v>
      </c>
      <c r="G165" s="8">
        <f>CHOOSE( CONTROL!$C$32, 6.6758, 6.6741) * CHOOSE( CONTROL!$C$15, $D$11, 100%, $F$11)</f>
        <v>6.6757999999999997</v>
      </c>
      <c r="H165" s="4">
        <f>CHOOSE( CONTROL!$C$32, 7.6113, 7.6096) * CHOOSE(CONTROL!$C$15, $D$11, 100%, $F$11)</f>
        <v>7.6113</v>
      </c>
      <c r="I165" s="8">
        <f>CHOOSE( CONTROL!$C$32, 6.6549, 6.6533) * CHOOSE(CONTROL!$C$15, $D$11, 100%, $F$11)</f>
        <v>6.6548999999999996</v>
      </c>
      <c r="J165" s="4">
        <f>CHOOSE( CONTROL!$C$32, 6.5351, 6.5335) * CHOOSE(CONTROL!$C$15, $D$11, 100%, $F$11)</f>
        <v>6.5350999999999999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1.2927</v>
      </c>
      <c r="Q165" s="9">
        <v>32.070099999999996</v>
      </c>
      <c r="R165" s="9"/>
      <c r="S165" s="11"/>
    </row>
    <row r="166" spans="1:19" ht="15.75">
      <c r="A166" s="13">
        <v>46174</v>
      </c>
      <c r="B166" s="8">
        <f>CHOOSE( CONTROL!$C$32, 6.6367, 6.635) * CHOOSE(CONTROL!$C$15, $D$11, 100%, $F$11)</f>
        <v>6.6367000000000003</v>
      </c>
      <c r="C166" s="8">
        <f>CHOOSE( CONTROL!$C$32, 6.6447, 6.643) * CHOOSE(CONTROL!$C$15, $D$11, 100%, $F$11)</f>
        <v>6.6447000000000003</v>
      </c>
      <c r="D166" s="8">
        <f>CHOOSE( CONTROL!$C$32, 6.6416, 6.64) * CHOOSE( CONTROL!$C$15, $D$11, 100%, $F$11)</f>
        <v>6.6416000000000004</v>
      </c>
      <c r="E166" s="12">
        <f>CHOOSE( CONTROL!$C$32, 6.6415, 6.6399) * CHOOSE( CONTROL!$C$15, $D$11, 100%, $F$11)</f>
        <v>6.6414999999999997</v>
      </c>
      <c r="F166" s="4">
        <f>CHOOSE( CONTROL!$C$32, 7.3436, 7.342) * CHOOSE(CONTROL!$C$15, $D$11, 100%, $F$11)</f>
        <v>7.3436000000000003</v>
      </c>
      <c r="G166" s="8">
        <f>CHOOSE( CONTROL!$C$32, 6.569, 6.5673) * CHOOSE( CONTROL!$C$15, $D$11, 100%, $F$11)</f>
        <v>6.569</v>
      </c>
      <c r="H166" s="4">
        <f>CHOOSE( CONTROL!$C$32, 7.5043, 7.5026) * CHOOSE(CONTROL!$C$15, $D$11, 100%, $F$11)</f>
        <v>7.5042999999999997</v>
      </c>
      <c r="I166" s="8">
        <f>CHOOSE( CONTROL!$C$32, 6.5506, 6.549) * CHOOSE(CONTROL!$C$15, $D$11, 100%, $F$11)</f>
        <v>6.5506000000000002</v>
      </c>
      <c r="J166" s="4">
        <f>CHOOSE( CONTROL!$C$32, 6.4301, 6.4285) * CHOOSE(CONTROL!$C$15, $D$11, 100%, $F$11)</f>
        <v>6.4301000000000004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1.2509999999999999</v>
      </c>
      <c r="Q166" s="9">
        <v>31.035599999999999</v>
      </c>
      <c r="R166" s="9"/>
      <c r="S166" s="11"/>
    </row>
    <row r="167" spans="1:19" ht="15.75">
      <c r="A167" s="13">
        <v>46204</v>
      </c>
      <c r="B167" s="8">
        <f>CHOOSE( CONTROL!$C$32, 6.9217, 6.9201) * CHOOSE(CONTROL!$C$15, $D$11, 100%, $F$11)</f>
        <v>6.9217000000000004</v>
      </c>
      <c r="C167" s="8">
        <f>CHOOSE( CONTROL!$C$32, 6.9297, 6.928) * CHOOSE(CONTROL!$C$15, $D$11, 100%, $F$11)</f>
        <v>6.9297000000000004</v>
      </c>
      <c r="D167" s="8">
        <f>CHOOSE( CONTROL!$C$32, 6.9269, 6.9253) * CHOOSE( CONTROL!$C$15, $D$11, 100%, $F$11)</f>
        <v>6.9268999999999998</v>
      </c>
      <c r="E167" s="12">
        <f>CHOOSE( CONTROL!$C$32, 6.9267, 6.9251) * CHOOSE( CONTROL!$C$15, $D$11, 100%, $F$11)</f>
        <v>6.9267000000000003</v>
      </c>
      <c r="F167" s="4">
        <f>CHOOSE( CONTROL!$C$32, 7.6287, 7.627) * CHOOSE(CONTROL!$C$15, $D$11, 100%, $F$11)</f>
        <v>7.6287000000000003</v>
      </c>
      <c r="G167" s="8">
        <f>CHOOSE( CONTROL!$C$32, 6.8508, 6.8492) * CHOOSE( CONTROL!$C$15, $D$11, 100%, $F$11)</f>
        <v>6.8507999999999996</v>
      </c>
      <c r="H167" s="4">
        <f>CHOOSE( CONTROL!$C$32, 7.786, 7.7843) * CHOOSE(CONTROL!$C$15, $D$11, 100%, $F$11)</f>
        <v>7.7859999999999996</v>
      </c>
      <c r="I167" s="8">
        <f>CHOOSE( CONTROL!$C$32, 6.8282, 6.8266) * CHOOSE(CONTROL!$C$15, $D$11, 100%, $F$11)</f>
        <v>6.8281999999999998</v>
      </c>
      <c r="J167" s="4">
        <f>CHOOSE( CONTROL!$C$32, 6.7067, 6.7051) * CHOOSE(CONTROL!$C$15, $D$11, 100%, $F$11)</f>
        <v>6.7066999999999997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1.2927</v>
      </c>
      <c r="Q167" s="9">
        <v>32.070099999999996</v>
      </c>
      <c r="R167" s="9"/>
      <c r="S167" s="11"/>
    </row>
    <row r="168" spans="1:19" ht="15.75">
      <c r="A168" s="13">
        <v>46235</v>
      </c>
      <c r="B168" s="8">
        <f>CHOOSE( CONTROL!$C$32, 6.3884, 6.3868) * CHOOSE(CONTROL!$C$15, $D$11, 100%, $F$11)</f>
        <v>6.3883999999999999</v>
      </c>
      <c r="C168" s="8">
        <f>CHOOSE( CONTROL!$C$32, 6.3964, 6.3947) * CHOOSE(CONTROL!$C$15, $D$11, 100%, $F$11)</f>
        <v>6.3963999999999999</v>
      </c>
      <c r="D168" s="8">
        <f>CHOOSE( CONTROL!$C$32, 6.3937, 6.392) * CHOOSE( CONTROL!$C$15, $D$11, 100%, $F$11)</f>
        <v>6.3936999999999999</v>
      </c>
      <c r="E168" s="12">
        <f>CHOOSE( CONTROL!$C$32, 6.3935, 6.3918) * CHOOSE( CONTROL!$C$15, $D$11, 100%, $F$11)</f>
        <v>6.3935000000000004</v>
      </c>
      <c r="F168" s="4">
        <f>CHOOSE( CONTROL!$C$32, 7.0954, 7.0937) * CHOOSE(CONTROL!$C$15, $D$11, 100%, $F$11)</f>
        <v>7.0953999999999997</v>
      </c>
      <c r="G168" s="8">
        <f>CHOOSE( CONTROL!$C$32, 6.3239, 6.3222) * CHOOSE( CONTROL!$C$15, $D$11, 100%, $F$11)</f>
        <v>6.3239000000000001</v>
      </c>
      <c r="H168" s="4">
        <f>CHOOSE( CONTROL!$C$32, 7.2589, 7.2573) * CHOOSE(CONTROL!$C$15, $D$11, 100%, $F$11)</f>
        <v>7.2588999999999997</v>
      </c>
      <c r="I168" s="8">
        <f>CHOOSE( CONTROL!$C$32, 6.3107, 6.3091) * CHOOSE(CONTROL!$C$15, $D$11, 100%, $F$11)</f>
        <v>6.3106999999999998</v>
      </c>
      <c r="J168" s="4">
        <f>CHOOSE( CONTROL!$C$32, 6.1891, 6.1875) * CHOOSE(CONTROL!$C$15, $D$11, 100%, $F$11)</f>
        <v>6.1890999999999998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1.2927</v>
      </c>
      <c r="Q168" s="9">
        <v>32.070099999999996</v>
      </c>
      <c r="R168" s="9"/>
      <c r="S168" s="11"/>
    </row>
    <row r="169" spans="1:19" ht="15.75">
      <c r="A169" s="13">
        <v>46266</v>
      </c>
      <c r="B169" s="8">
        <f>CHOOSE( CONTROL!$C$32, 6.2549, 6.2532) * CHOOSE(CONTROL!$C$15, $D$11, 100%, $F$11)</f>
        <v>6.2549000000000001</v>
      </c>
      <c r="C169" s="8">
        <f>CHOOSE( CONTROL!$C$32, 6.2628, 6.2612) * CHOOSE(CONTROL!$C$15, $D$11, 100%, $F$11)</f>
        <v>6.2628000000000004</v>
      </c>
      <c r="D169" s="8">
        <f>CHOOSE( CONTROL!$C$32, 6.2601, 6.2584) * CHOOSE( CONTROL!$C$15, $D$11, 100%, $F$11)</f>
        <v>6.2601000000000004</v>
      </c>
      <c r="E169" s="12">
        <f>CHOOSE( CONTROL!$C$32, 6.2599, 6.2582) * CHOOSE( CONTROL!$C$15, $D$11, 100%, $F$11)</f>
        <v>6.2599</v>
      </c>
      <c r="F169" s="4">
        <f>CHOOSE( CONTROL!$C$32, 6.9618, 6.9601) * CHOOSE(CONTROL!$C$15, $D$11, 100%, $F$11)</f>
        <v>6.9618000000000002</v>
      </c>
      <c r="G169" s="8">
        <f>CHOOSE( CONTROL!$C$32, 6.1918, 6.1902) * CHOOSE( CONTROL!$C$15, $D$11, 100%, $F$11)</f>
        <v>6.1917999999999997</v>
      </c>
      <c r="H169" s="4">
        <f>CHOOSE( CONTROL!$C$32, 7.1269, 7.1253) * CHOOSE(CONTROL!$C$15, $D$11, 100%, $F$11)</f>
        <v>7.1269</v>
      </c>
      <c r="I169" s="8">
        <f>CHOOSE( CONTROL!$C$32, 6.1808, 6.1792) * CHOOSE(CONTROL!$C$15, $D$11, 100%, $F$11)</f>
        <v>6.1807999999999996</v>
      </c>
      <c r="J169" s="4">
        <f>CHOOSE( CONTROL!$C$32, 6.0595, 6.0579) * CHOOSE(CONTROL!$C$15, $D$11, 100%, $F$11)</f>
        <v>6.0594999999999999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1.2509999999999999</v>
      </c>
      <c r="Q169" s="9">
        <v>31.035599999999999</v>
      </c>
      <c r="R169" s="9"/>
      <c r="S169" s="11"/>
    </row>
    <row r="170" spans="1:19" ht="15.75">
      <c r="A170" s="13">
        <v>46296</v>
      </c>
      <c r="B170" s="8">
        <f>CHOOSE( CONTROL!$C$32, 6.5299, 6.5288) * CHOOSE(CONTROL!$C$15, $D$11, 100%, $F$11)</f>
        <v>6.5298999999999996</v>
      </c>
      <c r="C170" s="8">
        <f>CHOOSE( CONTROL!$C$32, 6.5352, 6.5341) * CHOOSE(CONTROL!$C$15, $D$11, 100%, $F$11)</f>
        <v>6.5351999999999997</v>
      </c>
      <c r="D170" s="8">
        <f>CHOOSE( CONTROL!$C$32, 6.5381, 6.537) * CHOOSE( CONTROL!$C$15, $D$11, 100%, $F$11)</f>
        <v>6.5381</v>
      </c>
      <c r="E170" s="12">
        <f>CHOOSE( CONTROL!$C$32, 6.5366, 6.5355) * CHOOSE( CONTROL!$C$15, $D$11, 100%, $F$11)</f>
        <v>6.5366</v>
      </c>
      <c r="F170" s="4">
        <f>CHOOSE( CONTROL!$C$32, 7.2385, 7.2374) * CHOOSE(CONTROL!$C$15, $D$11, 100%, $F$11)</f>
        <v>7.2385000000000002</v>
      </c>
      <c r="G170" s="8">
        <f>CHOOSE( CONTROL!$C$32, 6.4655, 6.4644) * CHOOSE( CONTROL!$C$15, $D$11, 100%, $F$11)</f>
        <v>6.4654999999999996</v>
      </c>
      <c r="H170" s="4">
        <f>CHOOSE( CONTROL!$C$32, 7.4004, 7.3993) * CHOOSE(CONTROL!$C$15, $D$11, 100%, $F$11)</f>
        <v>7.4004000000000003</v>
      </c>
      <c r="I170" s="8">
        <f>CHOOSE( CONTROL!$C$32, 6.4503, 6.4493) * CHOOSE(CONTROL!$C$15, $D$11, 100%, $F$11)</f>
        <v>6.4503000000000004</v>
      </c>
      <c r="J170" s="4">
        <f>CHOOSE( CONTROL!$C$32, 6.3281, 6.327) * CHOOSE(CONTROL!$C$15, $D$11, 100%, $F$11)</f>
        <v>6.3281000000000001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1.2927</v>
      </c>
      <c r="Q170" s="9">
        <v>32.070099999999996</v>
      </c>
      <c r="R170" s="9"/>
      <c r="S170" s="11"/>
    </row>
    <row r="171" spans="1:19" ht="15.75">
      <c r="A171" s="13">
        <v>46327</v>
      </c>
      <c r="B171" s="8">
        <f>CHOOSE( CONTROL!$C$32, 7.0413, 7.0402) * CHOOSE(CONTROL!$C$15, $D$11, 100%, $F$11)</f>
        <v>7.0412999999999997</v>
      </c>
      <c r="C171" s="8">
        <f>CHOOSE( CONTROL!$C$32, 7.0464, 7.0453) * CHOOSE(CONTROL!$C$15, $D$11, 100%, $F$11)</f>
        <v>7.0464000000000002</v>
      </c>
      <c r="D171" s="8">
        <f>CHOOSE( CONTROL!$C$32, 7.0285, 7.0275) * CHOOSE( CONTROL!$C$15, $D$11, 100%, $F$11)</f>
        <v>7.0285000000000002</v>
      </c>
      <c r="E171" s="12">
        <f>CHOOSE( CONTROL!$C$32, 7.0345, 7.0335) * CHOOSE( CONTROL!$C$15, $D$11, 100%, $F$11)</f>
        <v>7.0345000000000004</v>
      </c>
      <c r="F171" s="4">
        <f>CHOOSE( CONTROL!$C$32, 7.7066, 7.7055) * CHOOSE(CONTROL!$C$15, $D$11, 100%, $F$11)</f>
        <v>7.7065999999999999</v>
      </c>
      <c r="G171" s="8">
        <f>CHOOSE( CONTROL!$C$32, 6.9704, 6.9693) * CHOOSE( CONTROL!$C$15, $D$11, 100%, $F$11)</f>
        <v>6.9703999999999997</v>
      </c>
      <c r="H171" s="4">
        <f>CHOOSE( CONTROL!$C$32, 7.863, 7.8619) * CHOOSE(CONTROL!$C$15, $D$11, 100%, $F$11)</f>
        <v>7.8630000000000004</v>
      </c>
      <c r="I171" s="8">
        <f>CHOOSE( CONTROL!$C$32, 7.009, 7.008) * CHOOSE(CONTROL!$C$15, $D$11, 100%, $F$11)</f>
        <v>7.0090000000000003</v>
      </c>
      <c r="J171" s="4">
        <f>CHOOSE( CONTROL!$C$32, 6.8248, 6.8238) * CHOOSE(CONTROL!$C$15, $D$11, 100%, $F$11)</f>
        <v>6.8247999999999998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31.035599999999999</v>
      </c>
      <c r="R171" s="9"/>
      <c r="S171" s="11"/>
    </row>
    <row r="172" spans="1:19" ht="15.75">
      <c r="A172" s="13">
        <v>46357</v>
      </c>
      <c r="B172" s="8">
        <f>CHOOSE( CONTROL!$C$32, 7.0285, 7.0274) * CHOOSE(CONTROL!$C$15, $D$11, 100%, $F$11)</f>
        <v>7.0285000000000002</v>
      </c>
      <c r="C172" s="8">
        <f>CHOOSE( CONTROL!$C$32, 7.0336, 7.0325) * CHOOSE(CONTROL!$C$15, $D$11, 100%, $F$11)</f>
        <v>7.0335999999999999</v>
      </c>
      <c r="D172" s="8">
        <f>CHOOSE( CONTROL!$C$32, 7.0172, 7.0161) * CHOOSE( CONTROL!$C$15, $D$11, 100%, $F$11)</f>
        <v>7.0171999999999999</v>
      </c>
      <c r="E172" s="12">
        <f>CHOOSE( CONTROL!$C$32, 7.0227, 7.0216) * CHOOSE( CONTROL!$C$15, $D$11, 100%, $F$11)</f>
        <v>7.0227000000000004</v>
      </c>
      <c r="F172" s="4">
        <f>CHOOSE( CONTROL!$C$32, 7.6938, 7.6927) * CHOOSE(CONTROL!$C$15, $D$11, 100%, $F$11)</f>
        <v>7.6938000000000004</v>
      </c>
      <c r="G172" s="8">
        <f>CHOOSE( CONTROL!$C$32, 6.9588, 6.9577) * CHOOSE( CONTROL!$C$15, $D$11, 100%, $F$11)</f>
        <v>6.9588000000000001</v>
      </c>
      <c r="H172" s="4">
        <f>CHOOSE( CONTROL!$C$32, 7.8503, 7.8492) * CHOOSE(CONTROL!$C$15, $D$11, 100%, $F$11)</f>
        <v>7.8502999999999998</v>
      </c>
      <c r="I172" s="8">
        <f>CHOOSE( CONTROL!$C$32, 7.0011, 7) * CHOOSE(CONTROL!$C$15, $D$11, 100%, $F$11)</f>
        <v>7.0011000000000001</v>
      </c>
      <c r="J172" s="4">
        <f>CHOOSE( CONTROL!$C$32, 6.8124, 6.8113) * CHOOSE(CONTROL!$C$15, $D$11, 100%, $F$11)</f>
        <v>6.8124000000000002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32.070099999999996</v>
      </c>
      <c r="R172" s="9"/>
      <c r="S172" s="11"/>
    </row>
    <row r="173" spans="1:19" ht="15.75">
      <c r="A173" s="13">
        <v>46388</v>
      </c>
      <c r="B173" s="8">
        <f>CHOOSE( CONTROL!$C$32, 7.2838, 7.2827) * CHOOSE(CONTROL!$C$15, $D$11, 100%, $F$11)</f>
        <v>7.2838000000000003</v>
      </c>
      <c r="C173" s="8">
        <f>CHOOSE( CONTROL!$C$32, 7.2888, 7.2877) * CHOOSE(CONTROL!$C$15, $D$11, 100%, $F$11)</f>
        <v>7.2888000000000002</v>
      </c>
      <c r="D173" s="8">
        <f>CHOOSE( CONTROL!$C$32, 7.2675, 7.2665) * CHOOSE( CONTROL!$C$15, $D$11, 100%, $F$11)</f>
        <v>7.2675000000000001</v>
      </c>
      <c r="E173" s="12">
        <f>CHOOSE( CONTROL!$C$32, 7.2748, 7.2737) * CHOOSE( CONTROL!$C$15, $D$11, 100%, $F$11)</f>
        <v>7.2747999999999999</v>
      </c>
      <c r="F173" s="4">
        <f>CHOOSE( CONTROL!$C$32, 7.949, 7.948) * CHOOSE(CONTROL!$C$15, $D$11, 100%, $F$11)</f>
        <v>7.9489999999999998</v>
      </c>
      <c r="G173" s="8">
        <f>CHOOSE( CONTROL!$C$32, 7.2006, 7.1995) * CHOOSE( CONTROL!$C$15, $D$11, 100%, $F$11)</f>
        <v>7.2005999999999997</v>
      </c>
      <c r="H173" s="4">
        <f>CHOOSE( CONTROL!$C$32, 8.1026, 8.1015) * CHOOSE(CONTROL!$C$15, $D$11, 100%, $F$11)</f>
        <v>8.1026000000000007</v>
      </c>
      <c r="I173" s="8">
        <f>CHOOSE( CONTROL!$C$32, 7.211, 7.2099) * CHOOSE(CONTROL!$C$15, $D$11, 100%, $F$11)</f>
        <v>7.2110000000000003</v>
      </c>
      <c r="J173" s="4">
        <f>CHOOSE( CONTROL!$C$32, 7.0601, 7.0591) * CHOOSE(CONTROL!$C$15, $D$11, 100%, $F$11)</f>
        <v>7.0601000000000003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31.885999999999999</v>
      </c>
      <c r="R173" s="9"/>
      <c r="S173" s="11"/>
    </row>
    <row r="174" spans="1:19" ht="15.75">
      <c r="A174" s="13">
        <v>46419</v>
      </c>
      <c r="B174" s="8">
        <f>CHOOSE( CONTROL!$C$32, 6.8135, 6.8124) * CHOOSE(CONTROL!$C$15, $D$11, 100%, $F$11)</f>
        <v>6.8135000000000003</v>
      </c>
      <c r="C174" s="8">
        <f>CHOOSE( CONTROL!$C$32, 6.8186, 6.8175) * CHOOSE(CONTROL!$C$15, $D$11, 100%, $F$11)</f>
        <v>6.8186</v>
      </c>
      <c r="D174" s="8">
        <f>CHOOSE( CONTROL!$C$32, 6.7972, 6.7961) * CHOOSE( CONTROL!$C$15, $D$11, 100%, $F$11)</f>
        <v>6.7972000000000001</v>
      </c>
      <c r="E174" s="12">
        <f>CHOOSE( CONTROL!$C$32, 6.8045, 6.8034) * CHOOSE( CONTROL!$C$15, $D$11, 100%, $F$11)</f>
        <v>6.8045</v>
      </c>
      <c r="F174" s="4">
        <f>CHOOSE( CONTROL!$C$32, 7.4788, 7.4777) * CHOOSE(CONTROL!$C$15, $D$11, 100%, $F$11)</f>
        <v>7.4787999999999997</v>
      </c>
      <c r="G174" s="8">
        <f>CHOOSE( CONTROL!$C$32, 6.7358, 6.7347) * CHOOSE( CONTROL!$C$15, $D$11, 100%, $F$11)</f>
        <v>6.7358000000000002</v>
      </c>
      <c r="H174" s="4">
        <f>CHOOSE( CONTROL!$C$32, 7.6379, 7.6368) * CHOOSE(CONTROL!$C$15, $D$11, 100%, $F$11)</f>
        <v>7.6379000000000001</v>
      </c>
      <c r="I174" s="8">
        <f>CHOOSE( CONTROL!$C$32, 6.754, 6.753) * CHOOSE(CONTROL!$C$15, $D$11, 100%, $F$11)</f>
        <v>6.7539999999999996</v>
      </c>
      <c r="J174" s="4">
        <f>CHOOSE( CONTROL!$C$32, 6.6038, 6.6027) * CHOOSE(CONTROL!$C$15, $D$11, 100%, $F$11)</f>
        <v>6.6037999999999997</v>
      </c>
      <c r="K174" s="4"/>
      <c r="L174" s="9">
        <v>26.469899999999999</v>
      </c>
      <c r="M174" s="9">
        <v>10.8962</v>
      </c>
      <c r="N174" s="9">
        <v>4.4660000000000002</v>
      </c>
      <c r="O174" s="9">
        <v>0.33789999999999998</v>
      </c>
      <c r="P174" s="9">
        <v>1.1676</v>
      </c>
      <c r="Q174" s="9">
        <v>28.8002</v>
      </c>
      <c r="R174" s="9"/>
      <c r="S174" s="11"/>
    </row>
    <row r="175" spans="1:19" ht="15.75">
      <c r="A175" s="13">
        <v>46447</v>
      </c>
      <c r="B175" s="8">
        <f>CHOOSE( CONTROL!$C$32, 6.6687, 6.6676) * CHOOSE(CONTROL!$C$15, $D$11, 100%, $F$11)</f>
        <v>6.6687000000000003</v>
      </c>
      <c r="C175" s="8">
        <f>CHOOSE( CONTROL!$C$32, 6.6738, 6.6727) * CHOOSE(CONTROL!$C$15, $D$11, 100%, $F$11)</f>
        <v>6.6738</v>
      </c>
      <c r="D175" s="8">
        <f>CHOOSE( CONTROL!$C$32, 6.6517, 6.6506) * CHOOSE( CONTROL!$C$15, $D$11, 100%, $F$11)</f>
        <v>6.6516999999999999</v>
      </c>
      <c r="E175" s="12">
        <f>CHOOSE( CONTROL!$C$32, 6.6592, 6.6581) * CHOOSE( CONTROL!$C$15, $D$11, 100%, $F$11)</f>
        <v>6.6592000000000002</v>
      </c>
      <c r="F175" s="4">
        <f>CHOOSE( CONTROL!$C$32, 7.334, 7.3329) * CHOOSE(CONTROL!$C$15, $D$11, 100%, $F$11)</f>
        <v>7.3339999999999996</v>
      </c>
      <c r="G175" s="8">
        <f>CHOOSE( CONTROL!$C$32, 6.5922, 6.5911) * CHOOSE( CONTROL!$C$15, $D$11, 100%, $F$11)</f>
        <v>6.5922000000000001</v>
      </c>
      <c r="H175" s="4">
        <f>CHOOSE( CONTROL!$C$32, 7.4947, 7.4937) * CHOOSE(CONTROL!$C$15, $D$11, 100%, $F$11)</f>
        <v>7.4946999999999999</v>
      </c>
      <c r="I175" s="8">
        <f>CHOOSE( CONTROL!$C$32, 6.6114, 6.6103) * CHOOSE(CONTROL!$C$15, $D$11, 100%, $F$11)</f>
        <v>6.6113999999999997</v>
      </c>
      <c r="J175" s="4">
        <f>CHOOSE( CONTROL!$C$32, 6.4632, 6.4622) * CHOOSE(CONTROL!$C$15, $D$11, 100%, $F$11)</f>
        <v>6.4631999999999996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31.885999999999999</v>
      </c>
      <c r="R175" s="9"/>
      <c r="S175" s="11"/>
    </row>
    <row r="176" spans="1:19" ht="15.75">
      <c r="A176" s="13">
        <v>46478</v>
      </c>
      <c r="B176" s="8">
        <f>CHOOSE( CONTROL!$C$32, 6.7707, 6.7696) * CHOOSE(CONTROL!$C$15, $D$11, 100%, $F$11)</f>
        <v>6.7706999999999997</v>
      </c>
      <c r="C176" s="8">
        <f>CHOOSE( CONTROL!$C$32, 6.7752, 6.7741) * CHOOSE(CONTROL!$C$15, $D$11, 100%, $F$11)</f>
        <v>6.7751999999999999</v>
      </c>
      <c r="D176" s="8">
        <f>CHOOSE( CONTROL!$C$32, 6.778, 6.7769) * CHOOSE( CONTROL!$C$15, $D$11, 100%, $F$11)</f>
        <v>6.7779999999999996</v>
      </c>
      <c r="E176" s="12">
        <f>CHOOSE( CONTROL!$C$32, 6.7766, 6.7755) * CHOOSE( CONTROL!$C$15, $D$11, 100%, $F$11)</f>
        <v>6.7766000000000002</v>
      </c>
      <c r="F176" s="4">
        <f>CHOOSE( CONTROL!$C$32, 7.479, 7.4779) * CHOOSE(CONTROL!$C$15, $D$11, 100%, $F$11)</f>
        <v>7.4790000000000001</v>
      </c>
      <c r="G176" s="8">
        <f>CHOOSE( CONTROL!$C$32, 6.7027, 6.7016) * CHOOSE( CONTROL!$C$15, $D$11, 100%, $F$11)</f>
        <v>6.7027000000000001</v>
      </c>
      <c r="H176" s="4">
        <f>CHOOSE( CONTROL!$C$32, 7.638, 7.637) * CHOOSE(CONTROL!$C$15, $D$11, 100%, $F$11)</f>
        <v>7.6379999999999999</v>
      </c>
      <c r="I176" s="8">
        <f>CHOOSE( CONTROL!$C$32, 6.6819, 6.6809) * CHOOSE(CONTROL!$C$15, $D$11, 100%, $F$11)</f>
        <v>6.6818999999999997</v>
      </c>
      <c r="J176" s="4">
        <f>CHOOSE( CONTROL!$C$32, 6.5614, 6.5604) * CHOOSE(CONTROL!$C$15, $D$11, 100%, $F$11)</f>
        <v>6.5613999999999999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1.2509999999999999</v>
      </c>
      <c r="Q176" s="9">
        <v>30.857399999999998</v>
      </c>
      <c r="R176" s="9"/>
      <c r="S176" s="11"/>
    </row>
    <row r="177" spans="1:19" ht="15.75">
      <c r="A177" s="13">
        <v>46508</v>
      </c>
      <c r="B177" s="8">
        <f>CHOOSE( CONTROL!$C$32, 6.9527, 6.9511) * CHOOSE(CONTROL!$C$15, $D$11, 100%, $F$11)</f>
        <v>6.9527000000000001</v>
      </c>
      <c r="C177" s="8">
        <f>CHOOSE( CONTROL!$C$32, 6.9607, 6.959) * CHOOSE(CONTROL!$C$15, $D$11, 100%, $F$11)</f>
        <v>6.9607000000000001</v>
      </c>
      <c r="D177" s="8">
        <f>CHOOSE( CONTROL!$C$32, 6.9574, 6.9558) * CHOOSE( CONTROL!$C$15, $D$11, 100%, $F$11)</f>
        <v>6.9573999999999998</v>
      </c>
      <c r="E177" s="12">
        <f>CHOOSE( CONTROL!$C$32, 6.9574, 6.9558) * CHOOSE( CONTROL!$C$15, $D$11, 100%, $F$11)</f>
        <v>6.9573999999999998</v>
      </c>
      <c r="F177" s="4">
        <f>CHOOSE( CONTROL!$C$32, 7.6597, 7.658) * CHOOSE(CONTROL!$C$15, $D$11, 100%, $F$11)</f>
        <v>7.6597</v>
      </c>
      <c r="G177" s="8">
        <f>CHOOSE( CONTROL!$C$32, 6.8811, 6.8795) * CHOOSE( CONTROL!$C$15, $D$11, 100%, $F$11)</f>
        <v>6.8811</v>
      </c>
      <c r="H177" s="4">
        <f>CHOOSE( CONTROL!$C$32, 7.8166, 7.815) * CHOOSE(CONTROL!$C$15, $D$11, 100%, $F$11)</f>
        <v>7.8166000000000002</v>
      </c>
      <c r="I177" s="8">
        <f>CHOOSE( CONTROL!$C$32, 6.8566, 6.855) * CHOOSE(CONTROL!$C$15, $D$11, 100%, $F$11)</f>
        <v>6.8566000000000003</v>
      </c>
      <c r="J177" s="4">
        <f>CHOOSE( CONTROL!$C$32, 6.7368, 6.7352) * CHOOSE(CONTROL!$C$15, $D$11, 100%, $F$11)</f>
        <v>6.7367999999999997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1.2927</v>
      </c>
      <c r="Q177" s="9">
        <v>31.885999999999999</v>
      </c>
      <c r="R177" s="9"/>
      <c r="S177" s="11"/>
    </row>
    <row r="178" spans="1:19" ht="15.75">
      <c r="A178" s="13">
        <v>46539</v>
      </c>
      <c r="B178" s="8">
        <f>CHOOSE( CONTROL!$C$32, 6.8411, 6.8395) * CHOOSE(CONTROL!$C$15, $D$11, 100%, $F$11)</f>
        <v>6.8411</v>
      </c>
      <c r="C178" s="8">
        <f>CHOOSE( CONTROL!$C$32, 6.8491, 6.8475) * CHOOSE(CONTROL!$C$15, $D$11, 100%, $F$11)</f>
        <v>6.8491</v>
      </c>
      <c r="D178" s="8">
        <f>CHOOSE( CONTROL!$C$32, 6.8461, 6.8444) * CHOOSE( CONTROL!$C$15, $D$11, 100%, $F$11)</f>
        <v>6.8460999999999999</v>
      </c>
      <c r="E178" s="12">
        <f>CHOOSE( CONTROL!$C$32, 6.846, 6.8443) * CHOOSE( CONTROL!$C$15, $D$11, 100%, $F$11)</f>
        <v>6.8460000000000001</v>
      </c>
      <c r="F178" s="4">
        <f>CHOOSE( CONTROL!$C$32, 7.5481, 7.5464) * CHOOSE(CONTROL!$C$15, $D$11, 100%, $F$11)</f>
        <v>7.5480999999999998</v>
      </c>
      <c r="G178" s="8">
        <f>CHOOSE( CONTROL!$C$32, 6.771, 6.7694) * CHOOSE( CONTROL!$C$15, $D$11, 100%, $F$11)</f>
        <v>6.7709999999999999</v>
      </c>
      <c r="H178" s="4">
        <f>CHOOSE( CONTROL!$C$32, 7.7063, 7.7047) * CHOOSE(CONTROL!$C$15, $D$11, 100%, $F$11)</f>
        <v>7.7062999999999997</v>
      </c>
      <c r="I178" s="8">
        <f>CHOOSE( CONTROL!$C$32, 6.7491, 6.7475) * CHOOSE(CONTROL!$C$15, $D$11, 100%, $F$11)</f>
        <v>6.7491000000000003</v>
      </c>
      <c r="J178" s="4">
        <f>CHOOSE( CONTROL!$C$32, 6.6285, 6.6269) * CHOOSE(CONTROL!$C$15, $D$11, 100%, $F$11)</f>
        <v>6.6284999999999998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1.2509999999999999</v>
      </c>
      <c r="Q178" s="9">
        <v>30.857399999999998</v>
      </c>
      <c r="R178" s="9"/>
      <c r="S178" s="11"/>
    </row>
    <row r="179" spans="1:19" ht="15.75">
      <c r="A179" s="13">
        <v>46569</v>
      </c>
      <c r="B179" s="8">
        <f>CHOOSE( CONTROL!$C$32, 7.135, 7.1333) * CHOOSE(CONTROL!$C$15, $D$11, 100%, $F$11)</f>
        <v>7.1349999999999998</v>
      </c>
      <c r="C179" s="8">
        <f>CHOOSE( CONTROL!$C$32, 7.1429, 7.1413) * CHOOSE(CONTROL!$C$15, $D$11, 100%, $F$11)</f>
        <v>7.1429</v>
      </c>
      <c r="D179" s="8">
        <f>CHOOSE( CONTROL!$C$32, 7.1402, 7.1385) * CHOOSE( CONTROL!$C$15, $D$11, 100%, $F$11)</f>
        <v>7.1402000000000001</v>
      </c>
      <c r="E179" s="12">
        <f>CHOOSE( CONTROL!$C$32, 7.14, 7.1383) * CHOOSE( CONTROL!$C$15, $D$11, 100%, $F$11)</f>
        <v>7.14</v>
      </c>
      <c r="F179" s="4">
        <f>CHOOSE( CONTROL!$C$32, 7.8419, 7.8403) * CHOOSE(CONTROL!$C$15, $D$11, 100%, $F$11)</f>
        <v>7.8418999999999999</v>
      </c>
      <c r="G179" s="8">
        <f>CHOOSE( CONTROL!$C$32, 7.0616, 7.06) * CHOOSE( CONTROL!$C$15, $D$11, 100%, $F$11)</f>
        <v>7.0616000000000003</v>
      </c>
      <c r="H179" s="4">
        <f>CHOOSE( CONTROL!$C$32, 7.9967, 7.9951) * CHOOSE(CONTROL!$C$15, $D$11, 100%, $F$11)</f>
        <v>7.9966999999999997</v>
      </c>
      <c r="I179" s="8">
        <f>CHOOSE( CONTROL!$C$32, 7.0352, 7.0336) * CHOOSE(CONTROL!$C$15, $D$11, 100%, $F$11)</f>
        <v>7.0351999999999997</v>
      </c>
      <c r="J179" s="4">
        <f>CHOOSE( CONTROL!$C$32, 6.9137, 6.9121) * CHOOSE(CONTROL!$C$15, $D$11, 100%, $F$11)</f>
        <v>6.9137000000000004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1.2927</v>
      </c>
      <c r="Q179" s="9">
        <v>31.885999999999999</v>
      </c>
      <c r="R179" s="9"/>
      <c r="S179" s="11"/>
    </row>
    <row r="180" spans="1:19" ht="15.75">
      <c r="A180" s="13">
        <v>46600</v>
      </c>
      <c r="B180" s="8">
        <f>CHOOSE( CONTROL!$C$32, 6.5852, 6.5835) * CHOOSE(CONTROL!$C$15, $D$11, 100%, $F$11)</f>
        <v>6.5852000000000004</v>
      </c>
      <c r="C180" s="8">
        <f>CHOOSE( CONTROL!$C$32, 6.5932, 6.5915) * CHOOSE(CONTROL!$C$15, $D$11, 100%, $F$11)</f>
        <v>6.5932000000000004</v>
      </c>
      <c r="D180" s="8">
        <f>CHOOSE( CONTROL!$C$32, 6.5905, 6.5888) * CHOOSE( CONTROL!$C$15, $D$11, 100%, $F$11)</f>
        <v>6.5904999999999996</v>
      </c>
      <c r="E180" s="12">
        <f>CHOOSE( CONTROL!$C$32, 6.5903, 6.5886) * CHOOSE( CONTROL!$C$15, $D$11, 100%, $F$11)</f>
        <v>6.5903</v>
      </c>
      <c r="F180" s="4">
        <f>CHOOSE( CONTROL!$C$32, 7.2921, 7.2905) * CHOOSE(CONTROL!$C$15, $D$11, 100%, $F$11)</f>
        <v>7.2920999999999996</v>
      </c>
      <c r="G180" s="8">
        <f>CHOOSE( CONTROL!$C$32, 6.5183, 6.5167) * CHOOSE( CONTROL!$C$15, $D$11, 100%, $F$11)</f>
        <v>6.5183</v>
      </c>
      <c r="H180" s="4">
        <f>CHOOSE( CONTROL!$C$32, 7.4534, 7.4517) * CHOOSE(CONTROL!$C$15, $D$11, 100%, $F$11)</f>
        <v>7.4534000000000002</v>
      </c>
      <c r="I180" s="8">
        <f>CHOOSE( CONTROL!$C$32, 6.5017, 6.5001) * CHOOSE(CONTROL!$C$15, $D$11, 100%, $F$11)</f>
        <v>6.5016999999999996</v>
      </c>
      <c r="J180" s="4">
        <f>CHOOSE( CONTROL!$C$32, 6.3801, 6.3785) * CHOOSE(CONTROL!$C$15, $D$11, 100%, $F$11)</f>
        <v>6.3800999999999997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1.2927</v>
      </c>
      <c r="Q180" s="9">
        <v>31.885999999999999</v>
      </c>
      <c r="R180" s="9"/>
      <c r="S180" s="11"/>
    </row>
    <row r="181" spans="1:19" ht="15.75">
      <c r="A181" s="13">
        <v>46631</v>
      </c>
      <c r="B181" s="8">
        <f>CHOOSE( CONTROL!$C$32, 6.4475, 6.4459) * CHOOSE(CONTROL!$C$15, $D$11, 100%, $F$11)</f>
        <v>6.4474999999999998</v>
      </c>
      <c r="C181" s="8">
        <f>CHOOSE( CONTROL!$C$32, 6.4555, 6.4538) * CHOOSE(CONTROL!$C$15, $D$11, 100%, $F$11)</f>
        <v>6.4554999999999998</v>
      </c>
      <c r="D181" s="8">
        <f>CHOOSE( CONTROL!$C$32, 6.4528, 6.4511) * CHOOSE( CONTROL!$C$15, $D$11, 100%, $F$11)</f>
        <v>6.4527999999999999</v>
      </c>
      <c r="E181" s="12">
        <f>CHOOSE( CONTROL!$C$32, 6.4526, 6.4509) * CHOOSE( CONTROL!$C$15, $D$11, 100%, $F$11)</f>
        <v>6.4526000000000003</v>
      </c>
      <c r="F181" s="4">
        <f>CHOOSE( CONTROL!$C$32, 7.1545, 7.1528) * CHOOSE(CONTROL!$C$15, $D$11, 100%, $F$11)</f>
        <v>7.1544999999999996</v>
      </c>
      <c r="G181" s="8">
        <f>CHOOSE( CONTROL!$C$32, 6.3822, 6.3806) * CHOOSE( CONTROL!$C$15, $D$11, 100%, $F$11)</f>
        <v>6.3822000000000001</v>
      </c>
      <c r="H181" s="4">
        <f>CHOOSE( CONTROL!$C$32, 7.3173, 7.3157) * CHOOSE(CONTROL!$C$15, $D$11, 100%, $F$11)</f>
        <v>7.3173000000000004</v>
      </c>
      <c r="I181" s="8">
        <f>CHOOSE( CONTROL!$C$32, 6.3679, 6.3663) * CHOOSE(CONTROL!$C$15, $D$11, 100%, $F$11)</f>
        <v>6.3678999999999997</v>
      </c>
      <c r="J181" s="4">
        <f>CHOOSE( CONTROL!$C$32, 6.2465, 6.2449) * CHOOSE(CONTROL!$C$15, $D$11, 100%, $F$11)</f>
        <v>6.2465000000000002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1.2509999999999999</v>
      </c>
      <c r="Q181" s="9">
        <v>30.857399999999998</v>
      </c>
      <c r="R181" s="9"/>
      <c r="S181" s="11"/>
    </row>
    <row r="182" spans="1:19" ht="15.75">
      <c r="A182" s="13">
        <v>46661</v>
      </c>
      <c r="B182" s="8">
        <f>CHOOSE( CONTROL!$C$32, 6.7311, 6.73) * CHOOSE(CONTROL!$C$15, $D$11, 100%, $F$11)</f>
        <v>6.7310999999999996</v>
      </c>
      <c r="C182" s="8">
        <f>CHOOSE( CONTROL!$C$32, 6.7364, 6.7353) * CHOOSE(CONTROL!$C$15, $D$11, 100%, $F$11)</f>
        <v>6.7363999999999997</v>
      </c>
      <c r="D182" s="8">
        <f>CHOOSE( CONTROL!$C$32, 6.7393, 6.7382) * CHOOSE( CONTROL!$C$15, $D$11, 100%, $F$11)</f>
        <v>6.7393000000000001</v>
      </c>
      <c r="E182" s="12">
        <f>CHOOSE( CONTROL!$C$32, 6.7378, 6.7367) * CHOOSE( CONTROL!$C$15, $D$11, 100%, $F$11)</f>
        <v>6.7378</v>
      </c>
      <c r="F182" s="4">
        <f>CHOOSE( CONTROL!$C$32, 7.4397, 7.4387) * CHOOSE(CONTROL!$C$15, $D$11, 100%, $F$11)</f>
        <v>7.4397000000000002</v>
      </c>
      <c r="G182" s="8">
        <f>CHOOSE( CONTROL!$C$32, 6.6643, 6.6633) * CHOOSE( CONTROL!$C$15, $D$11, 100%, $F$11)</f>
        <v>6.6642999999999999</v>
      </c>
      <c r="H182" s="4">
        <f>CHOOSE( CONTROL!$C$32, 7.5993, 7.5982) * CHOOSE(CONTROL!$C$15, $D$11, 100%, $F$11)</f>
        <v>7.5993000000000004</v>
      </c>
      <c r="I182" s="8">
        <f>CHOOSE( CONTROL!$C$32, 6.6457, 6.6446) * CHOOSE(CONTROL!$C$15, $D$11, 100%, $F$11)</f>
        <v>6.6456999999999997</v>
      </c>
      <c r="J182" s="4">
        <f>CHOOSE( CONTROL!$C$32, 6.5234, 6.5223) * CHOOSE(CONTROL!$C$15, $D$11, 100%, $F$11)</f>
        <v>6.5233999999999996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1.2927</v>
      </c>
      <c r="Q182" s="9">
        <v>31.885999999999999</v>
      </c>
      <c r="R182" s="9"/>
      <c r="S182" s="11"/>
    </row>
    <row r="183" spans="1:19" ht="15.75">
      <c r="A183" s="13">
        <v>46692</v>
      </c>
      <c r="B183" s="8">
        <f>CHOOSE( CONTROL!$C$32, 7.2583, 7.2572) * CHOOSE(CONTROL!$C$15, $D$11, 100%, $F$11)</f>
        <v>7.2583000000000002</v>
      </c>
      <c r="C183" s="8">
        <f>CHOOSE( CONTROL!$C$32, 7.2634, 7.2623) * CHOOSE(CONTROL!$C$15, $D$11, 100%, $F$11)</f>
        <v>7.2633999999999999</v>
      </c>
      <c r="D183" s="8">
        <f>CHOOSE( CONTROL!$C$32, 7.2455, 7.2445) * CHOOSE( CONTROL!$C$15, $D$11, 100%, $F$11)</f>
        <v>7.2454999999999998</v>
      </c>
      <c r="E183" s="12">
        <f>CHOOSE( CONTROL!$C$32, 7.2515, 7.2505) * CHOOSE( CONTROL!$C$15, $D$11, 100%, $F$11)</f>
        <v>7.2515000000000001</v>
      </c>
      <c r="F183" s="4">
        <f>CHOOSE( CONTROL!$C$32, 7.9236, 7.9225) * CHOOSE(CONTROL!$C$15, $D$11, 100%, $F$11)</f>
        <v>7.9236000000000004</v>
      </c>
      <c r="G183" s="8">
        <f>CHOOSE( CONTROL!$C$32, 7.1849, 7.1838) * CHOOSE( CONTROL!$C$15, $D$11, 100%, $F$11)</f>
        <v>7.1848999999999998</v>
      </c>
      <c r="H183" s="4">
        <f>CHOOSE( CONTROL!$C$32, 8.0774, 8.0764) * CHOOSE(CONTROL!$C$15, $D$11, 100%, $F$11)</f>
        <v>8.0774000000000008</v>
      </c>
      <c r="I183" s="8">
        <f>CHOOSE( CONTROL!$C$32, 7.2198, 7.2187) * CHOOSE(CONTROL!$C$15, $D$11, 100%, $F$11)</f>
        <v>7.2198000000000002</v>
      </c>
      <c r="J183" s="4">
        <f>CHOOSE( CONTROL!$C$32, 7.0354, 7.0344) * CHOOSE(CONTROL!$C$15, $D$11, 100%, $F$11)</f>
        <v>7.0354000000000001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30.857399999999998</v>
      </c>
      <c r="R183" s="9"/>
      <c r="S183" s="11"/>
    </row>
    <row r="184" spans="1:19" ht="15.75">
      <c r="A184" s="13">
        <v>46722</v>
      </c>
      <c r="B184" s="8">
        <f>CHOOSE( CONTROL!$C$32, 7.2451, 7.244) * CHOOSE(CONTROL!$C$15, $D$11, 100%, $F$11)</f>
        <v>7.2450999999999999</v>
      </c>
      <c r="C184" s="8">
        <f>CHOOSE( CONTROL!$C$32, 7.2502, 7.2491) * CHOOSE(CONTROL!$C$15, $D$11, 100%, $F$11)</f>
        <v>7.2502000000000004</v>
      </c>
      <c r="D184" s="8">
        <f>CHOOSE( CONTROL!$C$32, 7.2338, 7.2327) * CHOOSE( CONTROL!$C$15, $D$11, 100%, $F$11)</f>
        <v>7.2337999999999996</v>
      </c>
      <c r="E184" s="12">
        <f>CHOOSE( CONTROL!$C$32, 7.2393, 7.2382) * CHOOSE( CONTROL!$C$15, $D$11, 100%, $F$11)</f>
        <v>7.2393000000000001</v>
      </c>
      <c r="F184" s="4">
        <f>CHOOSE( CONTROL!$C$32, 7.9104, 7.9093) * CHOOSE(CONTROL!$C$15, $D$11, 100%, $F$11)</f>
        <v>7.9104000000000001</v>
      </c>
      <c r="G184" s="8">
        <f>CHOOSE( CONTROL!$C$32, 7.1729, 7.1718) * CHOOSE( CONTROL!$C$15, $D$11, 100%, $F$11)</f>
        <v>7.1729000000000003</v>
      </c>
      <c r="H184" s="4">
        <f>CHOOSE( CONTROL!$C$32, 8.0644, 8.0633) * CHOOSE(CONTROL!$C$15, $D$11, 100%, $F$11)</f>
        <v>8.0643999999999991</v>
      </c>
      <c r="I184" s="8">
        <f>CHOOSE( CONTROL!$C$32, 7.2114, 7.2104) * CHOOSE(CONTROL!$C$15, $D$11, 100%, $F$11)</f>
        <v>7.2114000000000003</v>
      </c>
      <c r="J184" s="4">
        <f>CHOOSE( CONTROL!$C$32, 7.0226, 7.0216) * CHOOSE(CONTROL!$C$15, $D$11, 100%, $F$11)</f>
        <v>7.0225999999999997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31.885999999999999</v>
      </c>
      <c r="R184" s="9"/>
      <c r="S184" s="11"/>
    </row>
    <row r="185" spans="1:19" ht="15.75">
      <c r="A185" s="13">
        <v>46753</v>
      </c>
      <c r="B185" s="8">
        <f>CHOOSE( CONTROL!$C$32, 7.5015, 7.5004) * CHOOSE(CONTROL!$C$15, $D$11, 100%, $F$11)</f>
        <v>7.5015000000000001</v>
      </c>
      <c r="C185" s="8">
        <f>CHOOSE( CONTROL!$C$32, 7.5066, 7.5055) * CHOOSE(CONTROL!$C$15, $D$11, 100%, $F$11)</f>
        <v>7.5065999999999997</v>
      </c>
      <c r="D185" s="8">
        <f>CHOOSE( CONTROL!$C$32, 7.4853, 7.4842) * CHOOSE( CONTROL!$C$15, $D$11, 100%, $F$11)</f>
        <v>7.4852999999999996</v>
      </c>
      <c r="E185" s="12">
        <f>CHOOSE( CONTROL!$C$32, 7.4925, 7.4914) * CHOOSE( CONTROL!$C$15, $D$11, 100%, $F$11)</f>
        <v>7.4924999999999997</v>
      </c>
      <c r="F185" s="4">
        <f>CHOOSE( CONTROL!$C$32, 8.1668, 8.1657) * CHOOSE(CONTROL!$C$15, $D$11, 100%, $F$11)</f>
        <v>8.1668000000000003</v>
      </c>
      <c r="G185" s="8">
        <f>CHOOSE( CONTROL!$C$32, 7.4158, 7.4147) * CHOOSE( CONTROL!$C$15, $D$11, 100%, $F$11)</f>
        <v>7.4157999999999999</v>
      </c>
      <c r="H185" s="4">
        <f>CHOOSE( CONTROL!$C$32, 8.3178, 8.3167) * CHOOSE(CONTROL!$C$15, $D$11, 100%, $F$11)</f>
        <v>8.3178000000000001</v>
      </c>
      <c r="I185" s="8">
        <f>CHOOSE( CONTROL!$C$32, 7.4224, 7.4214) * CHOOSE(CONTROL!$C$15, $D$11, 100%, $F$11)</f>
        <v>7.4223999999999997</v>
      </c>
      <c r="J185" s="4">
        <f>CHOOSE( CONTROL!$C$32, 7.2715, 7.2704) * CHOOSE(CONTROL!$C$15, $D$11, 100%, $F$11)</f>
        <v>7.2714999999999996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31.701799999999999</v>
      </c>
      <c r="R185" s="9"/>
      <c r="S185" s="11"/>
    </row>
    <row r="186" spans="1:19" ht="15.75">
      <c r="A186" s="13">
        <v>46784</v>
      </c>
      <c r="B186" s="8">
        <f>CHOOSE( CONTROL!$C$32, 7.0172, 7.0161) * CHOOSE(CONTROL!$C$15, $D$11, 100%, $F$11)</f>
        <v>7.0171999999999999</v>
      </c>
      <c r="C186" s="8">
        <f>CHOOSE( CONTROL!$C$32, 7.0223, 7.0212) * CHOOSE(CONTROL!$C$15, $D$11, 100%, $F$11)</f>
        <v>7.0223000000000004</v>
      </c>
      <c r="D186" s="8">
        <f>CHOOSE( CONTROL!$C$32, 7.0009, 6.9998) * CHOOSE( CONTROL!$C$15, $D$11, 100%, $F$11)</f>
        <v>7.0008999999999997</v>
      </c>
      <c r="E186" s="12">
        <f>CHOOSE( CONTROL!$C$32, 7.0082, 7.0071) * CHOOSE( CONTROL!$C$15, $D$11, 100%, $F$11)</f>
        <v>7.0082000000000004</v>
      </c>
      <c r="F186" s="4">
        <f>CHOOSE( CONTROL!$C$32, 7.6825, 7.6814) * CHOOSE(CONTROL!$C$15, $D$11, 100%, $F$11)</f>
        <v>7.6825000000000001</v>
      </c>
      <c r="G186" s="8">
        <f>CHOOSE( CONTROL!$C$32, 6.9371, 6.936) * CHOOSE( CONTROL!$C$15, $D$11, 100%, $F$11)</f>
        <v>6.9371</v>
      </c>
      <c r="H186" s="4">
        <f>CHOOSE( CONTROL!$C$32, 7.8392, 7.8381) * CHOOSE(CONTROL!$C$15, $D$11, 100%, $F$11)</f>
        <v>7.8391999999999999</v>
      </c>
      <c r="I186" s="8">
        <f>CHOOSE( CONTROL!$C$32, 6.9518, 6.9507) * CHOOSE(CONTROL!$C$15, $D$11, 100%, $F$11)</f>
        <v>6.9518000000000004</v>
      </c>
      <c r="J186" s="4">
        <f>CHOOSE( CONTROL!$C$32, 6.8015, 6.8004) * CHOOSE(CONTROL!$C$15, $D$11, 100%, $F$11)</f>
        <v>6.8014999999999999</v>
      </c>
      <c r="K186" s="4"/>
      <c r="L186" s="9">
        <v>27.415299999999998</v>
      </c>
      <c r="M186" s="9">
        <v>11.285299999999999</v>
      </c>
      <c r="N186" s="9">
        <v>4.6254999999999997</v>
      </c>
      <c r="O186" s="9">
        <v>0.34989999999999999</v>
      </c>
      <c r="P186" s="9">
        <v>1.2093</v>
      </c>
      <c r="Q186" s="9">
        <v>29.656600000000001</v>
      </c>
      <c r="R186" s="9"/>
      <c r="S186" s="11"/>
    </row>
    <row r="187" spans="1:19" ht="15.75">
      <c r="A187" s="13">
        <v>46813</v>
      </c>
      <c r="B187" s="8">
        <f>CHOOSE( CONTROL!$C$32, 6.8681, 6.867) * CHOOSE(CONTROL!$C$15, $D$11, 100%, $F$11)</f>
        <v>6.8681000000000001</v>
      </c>
      <c r="C187" s="8">
        <f>CHOOSE( CONTROL!$C$32, 6.8731, 6.872) * CHOOSE(CONTROL!$C$15, $D$11, 100%, $F$11)</f>
        <v>6.8731</v>
      </c>
      <c r="D187" s="8">
        <f>CHOOSE( CONTROL!$C$32, 6.8511, 6.85) * CHOOSE( CONTROL!$C$15, $D$11, 100%, $F$11)</f>
        <v>6.8510999999999997</v>
      </c>
      <c r="E187" s="12">
        <f>CHOOSE( CONTROL!$C$32, 6.8586, 6.8575) * CHOOSE( CONTROL!$C$15, $D$11, 100%, $F$11)</f>
        <v>6.8586</v>
      </c>
      <c r="F187" s="4">
        <f>CHOOSE( CONTROL!$C$32, 7.5333, 7.5323) * CHOOSE(CONTROL!$C$15, $D$11, 100%, $F$11)</f>
        <v>7.5332999999999997</v>
      </c>
      <c r="G187" s="8">
        <f>CHOOSE( CONTROL!$C$32, 6.7892, 6.7881) * CHOOSE( CONTROL!$C$15, $D$11, 100%, $F$11)</f>
        <v>6.7892000000000001</v>
      </c>
      <c r="H187" s="4">
        <f>CHOOSE( CONTROL!$C$32, 7.6918, 7.6907) * CHOOSE(CONTROL!$C$15, $D$11, 100%, $F$11)</f>
        <v>7.6917999999999997</v>
      </c>
      <c r="I187" s="8">
        <f>CHOOSE( CONTROL!$C$32, 6.805, 6.8039) * CHOOSE(CONTROL!$C$15, $D$11, 100%, $F$11)</f>
        <v>6.8049999999999997</v>
      </c>
      <c r="J187" s="4">
        <f>CHOOSE( CONTROL!$C$32, 6.6567, 6.6556) * CHOOSE(CONTROL!$C$15, $D$11, 100%, $F$11)</f>
        <v>6.6566999999999998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31.701799999999999</v>
      </c>
      <c r="R187" s="9"/>
      <c r="S187" s="11"/>
    </row>
    <row r="188" spans="1:19" ht="15.75">
      <c r="A188" s="13">
        <v>46844</v>
      </c>
      <c r="B188" s="8">
        <f>CHOOSE( CONTROL!$C$32, 6.9731, 6.972) * CHOOSE(CONTROL!$C$15, $D$11, 100%, $F$11)</f>
        <v>6.9730999999999996</v>
      </c>
      <c r="C188" s="8">
        <f>CHOOSE( CONTROL!$C$32, 6.9776, 6.9765) * CHOOSE(CONTROL!$C$15, $D$11, 100%, $F$11)</f>
        <v>6.9775999999999998</v>
      </c>
      <c r="D188" s="8">
        <f>CHOOSE( CONTROL!$C$32, 6.9804, 6.9793) * CHOOSE( CONTROL!$C$15, $D$11, 100%, $F$11)</f>
        <v>6.9804000000000004</v>
      </c>
      <c r="E188" s="12">
        <f>CHOOSE( CONTROL!$C$32, 6.979, 6.9779) * CHOOSE( CONTROL!$C$15, $D$11, 100%, $F$11)</f>
        <v>6.9790000000000001</v>
      </c>
      <c r="F188" s="4">
        <f>CHOOSE( CONTROL!$C$32, 7.6814, 7.6803) * CHOOSE(CONTROL!$C$15, $D$11, 100%, $F$11)</f>
        <v>7.6814</v>
      </c>
      <c r="G188" s="8">
        <f>CHOOSE( CONTROL!$C$32, 6.9027, 6.9016) * CHOOSE( CONTROL!$C$15, $D$11, 100%, $F$11)</f>
        <v>6.9027000000000003</v>
      </c>
      <c r="H188" s="4">
        <f>CHOOSE( CONTROL!$C$32, 7.838, 7.837) * CHOOSE(CONTROL!$C$15, $D$11, 100%, $F$11)</f>
        <v>7.8380000000000001</v>
      </c>
      <c r="I188" s="8">
        <f>CHOOSE( CONTROL!$C$32, 6.8784, 6.8774) * CHOOSE(CONTROL!$C$15, $D$11, 100%, $F$11)</f>
        <v>6.8784000000000001</v>
      </c>
      <c r="J188" s="4">
        <f>CHOOSE( CONTROL!$C$32, 6.7579, 6.7568) * CHOOSE(CONTROL!$C$15, $D$11, 100%, $F$11)</f>
        <v>6.7579000000000002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1.2509999999999999</v>
      </c>
      <c r="Q188" s="9">
        <v>30.679200000000002</v>
      </c>
      <c r="R188" s="9"/>
      <c r="S188" s="11"/>
    </row>
    <row r="189" spans="1:19" ht="15.75">
      <c r="A189" s="13">
        <v>46874</v>
      </c>
      <c r="B189" s="8">
        <f>CHOOSE( CONTROL!$C$32, 7.1605, 7.1588) * CHOOSE(CONTROL!$C$15, $D$11, 100%, $F$11)</f>
        <v>7.1604999999999999</v>
      </c>
      <c r="C189" s="8">
        <f>CHOOSE( CONTROL!$C$32, 7.1685, 7.1668) * CHOOSE(CONTROL!$C$15, $D$11, 100%, $F$11)</f>
        <v>7.1684999999999999</v>
      </c>
      <c r="D189" s="8">
        <f>CHOOSE( CONTROL!$C$32, 7.1652, 7.1636) * CHOOSE( CONTROL!$C$15, $D$11, 100%, $F$11)</f>
        <v>7.1651999999999996</v>
      </c>
      <c r="E189" s="12">
        <f>CHOOSE( CONTROL!$C$32, 7.1652, 7.1635) * CHOOSE( CONTROL!$C$15, $D$11, 100%, $F$11)</f>
        <v>7.1651999999999996</v>
      </c>
      <c r="F189" s="4">
        <f>CHOOSE( CONTROL!$C$32, 7.8674, 7.8658) * CHOOSE(CONTROL!$C$15, $D$11, 100%, $F$11)</f>
        <v>7.8673999999999999</v>
      </c>
      <c r="G189" s="8">
        <f>CHOOSE( CONTROL!$C$32, 7.0865, 7.0848) * CHOOSE( CONTROL!$C$15, $D$11, 100%, $F$11)</f>
        <v>7.0865</v>
      </c>
      <c r="H189" s="4">
        <f>CHOOSE( CONTROL!$C$32, 8.022, 8.0203) * CHOOSE(CONTROL!$C$15, $D$11, 100%, $F$11)</f>
        <v>8.0220000000000002</v>
      </c>
      <c r="I189" s="8">
        <f>CHOOSE( CONTROL!$C$32, 7.0584, 7.0568) * CHOOSE(CONTROL!$C$15, $D$11, 100%, $F$11)</f>
        <v>7.0583999999999998</v>
      </c>
      <c r="J189" s="4">
        <f>CHOOSE( CONTROL!$C$32, 6.9384, 6.9368) * CHOOSE(CONTROL!$C$15, $D$11, 100%, $F$11)</f>
        <v>6.9383999999999997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1.2927</v>
      </c>
      <c r="Q189" s="9">
        <v>31.701799999999999</v>
      </c>
      <c r="R189" s="9"/>
      <c r="S189" s="11"/>
    </row>
    <row r="190" spans="1:19" ht="15.75">
      <c r="A190" s="13">
        <v>46905</v>
      </c>
      <c r="B190" s="8">
        <f>CHOOSE( CONTROL!$C$32, 7.0456, 7.0439) * CHOOSE(CONTROL!$C$15, $D$11, 100%, $F$11)</f>
        <v>7.0456000000000003</v>
      </c>
      <c r="C190" s="8">
        <f>CHOOSE( CONTROL!$C$32, 7.0536, 7.0519) * CHOOSE(CONTROL!$C$15, $D$11, 100%, $F$11)</f>
        <v>7.0536000000000003</v>
      </c>
      <c r="D190" s="8">
        <f>CHOOSE( CONTROL!$C$32, 7.0505, 7.0489) * CHOOSE( CONTROL!$C$15, $D$11, 100%, $F$11)</f>
        <v>7.0505000000000004</v>
      </c>
      <c r="E190" s="12">
        <f>CHOOSE( CONTROL!$C$32, 7.0504, 7.0488) * CHOOSE( CONTROL!$C$15, $D$11, 100%, $F$11)</f>
        <v>7.0503999999999998</v>
      </c>
      <c r="F190" s="4">
        <f>CHOOSE( CONTROL!$C$32, 7.7525, 7.7509) * CHOOSE(CONTROL!$C$15, $D$11, 100%, $F$11)</f>
        <v>7.7525000000000004</v>
      </c>
      <c r="G190" s="8">
        <f>CHOOSE( CONTROL!$C$32, 6.9731, 6.9714) * CHOOSE( CONTROL!$C$15, $D$11, 100%, $F$11)</f>
        <v>6.9730999999999996</v>
      </c>
      <c r="H190" s="4">
        <f>CHOOSE( CONTROL!$C$32, 7.9084, 7.9067) * CHOOSE(CONTROL!$C$15, $D$11, 100%, $F$11)</f>
        <v>7.9084000000000003</v>
      </c>
      <c r="I190" s="8">
        <f>CHOOSE( CONTROL!$C$32, 6.9476, 6.946) * CHOOSE(CONTROL!$C$15, $D$11, 100%, $F$11)</f>
        <v>6.9476000000000004</v>
      </c>
      <c r="J190" s="4">
        <f>CHOOSE( CONTROL!$C$32, 6.8269, 6.8253) * CHOOSE(CONTROL!$C$15, $D$11, 100%, $F$11)</f>
        <v>6.8269000000000002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1.2509999999999999</v>
      </c>
      <c r="Q190" s="9">
        <v>30.679200000000002</v>
      </c>
      <c r="R190" s="9"/>
      <c r="S190" s="11"/>
    </row>
    <row r="191" spans="1:19" ht="15.75">
      <c r="A191" s="13">
        <v>46935</v>
      </c>
      <c r="B191" s="8">
        <f>CHOOSE( CONTROL!$C$32, 7.3482, 7.3466) * CHOOSE(CONTROL!$C$15, $D$11, 100%, $F$11)</f>
        <v>7.3482000000000003</v>
      </c>
      <c r="C191" s="8">
        <f>CHOOSE( CONTROL!$C$32, 7.3562, 7.3545) * CHOOSE(CONTROL!$C$15, $D$11, 100%, $F$11)</f>
        <v>7.3562000000000003</v>
      </c>
      <c r="D191" s="8">
        <f>CHOOSE( CONTROL!$C$32, 7.3534, 7.3517) * CHOOSE( CONTROL!$C$15, $D$11, 100%, $F$11)</f>
        <v>7.3533999999999997</v>
      </c>
      <c r="E191" s="12">
        <f>CHOOSE( CONTROL!$C$32, 7.3532, 7.3515) * CHOOSE( CONTROL!$C$15, $D$11, 100%, $F$11)</f>
        <v>7.3532000000000002</v>
      </c>
      <c r="F191" s="4">
        <f>CHOOSE( CONTROL!$C$32, 8.0551, 8.0535) * CHOOSE(CONTROL!$C$15, $D$11, 100%, $F$11)</f>
        <v>8.0550999999999995</v>
      </c>
      <c r="G191" s="8">
        <f>CHOOSE( CONTROL!$C$32, 7.2723, 7.2707) * CHOOSE( CONTROL!$C$15, $D$11, 100%, $F$11)</f>
        <v>7.2723000000000004</v>
      </c>
      <c r="H191" s="4">
        <f>CHOOSE( CONTROL!$C$32, 8.2075, 8.2058) * CHOOSE(CONTROL!$C$15, $D$11, 100%, $F$11)</f>
        <v>8.2074999999999996</v>
      </c>
      <c r="I191" s="8">
        <f>CHOOSE( CONTROL!$C$32, 7.2423, 7.2407) * CHOOSE(CONTROL!$C$15, $D$11, 100%, $F$11)</f>
        <v>7.2423000000000002</v>
      </c>
      <c r="J191" s="4">
        <f>CHOOSE( CONTROL!$C$32, 7.1206, 7.119) * CHOOSE(CONTROL!$C$15, $D$11, 100%, $F$11)</f>
        <v>7.1205999999999996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1.2927</v>
      </c>
      <c r="Q191" s="9">
        <v>31.701799999999999</v>
      </c>
      <c r="R191" s="9"/>
      <c r="S191" s="11"/>
    </row>
    <row r="192" spans="1:19" ht="15.75">
      <c r="A192" s="13">
        <v>46966</v>
      </c>
      <c r="B192" s="8">
        <f>CHOOSE( CONTROL!$C$32, 6.782, 6.7803) * CHOOSE(CONTROL!$C$15, $D$11, 100%, $F$11)</f>
        <v>6.782</v>
      </c>
      <c r="C192" s="8">
        <f>CHOOSE( CONTROL!$C$32, 6.7899, 6.7883) * CHOOSE(CONTROL!$C$15, $D$11, 100%, $F$11)</f>
        <v>6.7899000000000003</v>
      </c>
      <c r="D192" s="8">
        <f>CHOOSE( CONTROL!$C$32, 6.7872, 6.7856) * CHOOSE( CONTROL!$C$15, $D$11, 100%, $F$11)</f>
        <v>6.7872000000000003</v>
      </c>
      <c r="E192" s="12">
        <f>CHOOSE( CONTROL!$C$32, 6.787, 6.7854) * CHOOSE( CONTROL!$C$15, $D$11, 100%, $F$11)</f>
        <v>6.7869999999999999</v>
      </c>
      <c r="F192" s="4">
        <f>CHOOSE( CONTROL!$C$32, 7.4889, 7.4873) * CHOOSE(CONTROL!$C$15, $D$11, 100%, $F$11)</f>
        <v>7.4889000000000001</v>
      </c>
      <c r="G192" s="8">
        <f>CHOOSE( CONTROL!$C$32, 6.7128, 6.7112) * CHOOSE( CONTROL!$C$15, $D$11, 100%, $F$11)</f>
        <v>6.7127999999999997</v>
      </c>
      <c r="H192" s="4">
        <f>CHOOSE( CONTROL!$C$32, 7.6479, 7.6462) * CHOOSE(CONTROL!$C$15, $D$11, 100%, $F$11)</f>
        <v>7.6478999999999999</v>
      </c>
      <c r="I192" s="8">
        <f>CHOOSE( CONTROL!$C$32, 6.6928, 6.6912) * CHOOSE(CONTROL!$C$15, $D$11, 100%, $F$11)</f>
        <v>6.6928000000000001</v>
      </c>
      <c r="J192" s="4">
        <f>CHOOSE( CONTROL!$C$32, 6.5711, 6.5695) * CHOOSE(CONTROL!$C$15, $D$11, 100%, $F$11)</f>
        <v>6.5711000000000004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1.2927</v>
      </c>
      <c r="Q192" s="9">
        <v>31.701799999999999</v>
      </c>
      <c r="R192" s="9"/>
      <c r="S192" s="11"/>
    </row>
    <row r="193" spans="1:19" ht="15.75">
      <c r="A193" s="13">
        <v>46997</v>
      </c>
      <c r="B193" s="8">
        <f>CHOOSE( CONTROL!$C$32, 6.6402, 6.6385) * CHOOSE(CONTROL!$C$15, $D$11, 100%, $F$11)</f>
        <v>6.6402000000000001</v>
      </c>
      <c r="C193" s="8">
        <f>CHOOSE( CONTROL!$C$32, 6.6481, 6.6465) * CHOOSE(CONTROL!$C$15, $D$11, 100%, $F$11)</f>
        <v>6.6481000000000003</v>
      </c>
      <c r="D193" s="8">
        <f>CHOOSE( CONTROL!$C$32, 6.6454, 6.6437) * CHOOSE( CONTROL!$C$15, $D$11, 100%, $F$11)</f>
        <v>6.6454000000000004</v>
      </c>
      <c r="E193" s="12">
        <f>CHOOSE( CONTROL!$C$32, 6.6452, 6.6435) * CHOOSE( CONTROL!$C$15, $D$11, 100%, $F$11)</f>
        <v>6.6452</v>
      </c>
      <c r="F193" s="4">
        <f>CHOOSE( CONTROL!$C$32, 7.3471, 7.3455) * CHOOSE(CONTROL!$C$15, $D$11, 100%, $F$11)</f>
        <v>7.3471000000000002</v>
      </c>
      <c r="G193" s="8">
        <f>CHOOSE( CONTROL!$C$32, 6.5726, 6.571) * CHOOSE( CONTROL!$C$15, $D$11, 100%, $F$11)</f>
        <v>6.5726000000000004</v>
      </c>
      <c r="H193" s="4">
        <f>CHOOSE( CONTROL!$C$32, 7.5077, 7.5061) * CHOOSE(CONTROL!$C$15, $D$11, 100%, $F$11)</f>
        <v>7.5076999999999998</v>
      </c>
      <c r="I193" s="8">
        <f>CHOOSE( CONTROL!$C$32, 6.5549, 6.5533) * CHOOSE(CONTROL!$C$15, $D$11, 100%, $F$11)</f>
        <v>6.5548999999999999</v>
      </c>
      <c r="J193" s="4">
        <f>CHOOSE( CONTROL!$C$32, 6.4335, 6.4319) * CHOOSE(CONTROL!$C$15, $D$11, 100%, $F$11)</f>
        <v>6.4335000000000004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1.2509999999999999</v>
      </c>
      <c r="Q193" s="9">
        <v>30.679200000000002</v>
      </c>
      <c r="R193" s="9"/>
      <c r="S193" s="11"/>
    </row>
    <row r="194" spans="1:19" ht="15.75">
      <c r="A194" s="13">
        <v>47027</v>
      </c>
      <c r="B194" s="8">
        <f>CHOOSE( CONTROL!$C$32, 6.9323, 6.9312) * CHOOSE(CONTROL!$C$15, $D$11, 100%, $F$11)</f>
        <v>6.9322999999999997</v>
      </c>
      <c r="C194" s="8">
        <f>CHOOSE( CONTROL!$C$32, 6.9376, 6.9365) * CHOOSE(CONTROL!$C$15, $D$11, 100%, $F$11)</f>
        <v>6.9375999999999998</v>
      </c>
      <c r="D194" s="8">
        <f>CHOOSE( CONTROL!$C$32, 6.9405, 6.9394) * CHOOSE( CONTROL!$C$15, $D$11, 100%, $F$11)</f>
        <v>6.9405000000000001</v>
      </c>
      <c r="E194" s="12">
        <f>CHOOSE( CONTROL!$C$32, 6.939, 6.9379) * CHOOSE( CONTROL!$C$15, $D$11, 100%, $F$11)</f>
        <v>6.9390000000000001</v>
      </c>
      <c r="F194" s="4">
        <f>CHOOSE( CONTROL!$C$32, 7.641, 7.6399) * CHOOSE(CONTROL!$C$15, $D$11, 100%, $F$11)</f>
        <v>7.641</v>
      </c>
      <c r="G194" s="8">
        <f>CHOOSE( CONTROL!$C$32, 6.8632, 6.8621) * CHOOSE( CONTROL!$C$15, $D$11, 100%, $F$11)</f>
        <v>6.8632</v>
      </c>
      <c r="H194" s="4">
        <f>CHOOSE( CONTROL!$C$32, 7.7981, 7.797) * CHOOSE(CONTROL!$C$15, $D$11, 100%, $F$11)</f>
        <v>7.7980999999999998</v>
      </c>
      <c r="I194" s="8">
        <f>CHOOSE( CONTROL!$C$32, 6.8411, 6.84) * CHOOSE(CONTROL!$C$15, $D$11, 100%, $F$11)</f>
        <v>6.8411</v>
      </c>
      <c r="J194" s="4">
        <f>CHOOSE( CONTROL!$C$32, 6.7186, 6.7176) * CHOOSE(CONTROL!$C$15, $D$11, 100%, $F$11)</f>
        <v>6.7186000000000003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1.2927</v>
      </c>
      <c r="Q194" s="9">
        <v>31.701799999999999</v>
      </c>
      <c r="R194" s="9"/>
      <c r="S194" s="11"/>
    </row>
    <row r="195" spans="1:19" ht="15.75">
      <c r="A195" s="13">
        <v>47058</v>
      </c>
      <c r="B195" s="8">
        <f>CHOOSE( CONTROL!$C$32, 7.4753, 7.4742) * CHOOSE(CONTROL!$C$15, $D$11, 100%, $F$11)</f>
        <v>7.4752999999999998</v>
      </c>
      <c r="C195" s="8">
        <f>CHOOSE( CONTROL!$C$32, 7.4804, 7.4793) * CHOOSE(CONTROL!$C$15, $D$11, 100%, $F$11)</f>
        <v>7.4804000000000004</v>
      </c>
      <c r="D195" s="8">
        <f>CHOOSE( CONTROL!$C$32, 7.4626, 7.4615) * CHOOSE( CONTROL!$C$15, $D$11, 100%, $F$11)</f>
        <v>7.4626000000000001</v>
      </c>
      <c r="E195" s="12">
        <f>CHOOSE( CONTROL!$C$32, 7.4686, 7.4675) * CHOOSE( CONTROL!$C$15, $D$11, 100%, $F$11)</f>
        <v>7.4686000000000003</v>
      </c>
      <c r="F195" s="4">
        <f>CHOOSE( CONTROL!$C$32, 8.1406, 8.1395) * CHOOSE(CONTROL!$C$15, $D$11, 100%, $F$11)</f>
        <v>8.1405999999999992</v>
      </c>
      <c r="G195" s="8">
        <f>CHOOSE( CONTROL!$C$32, 7.3993, 7.3983) * CHOOSE( CONTROL!$C$15, $D$11, 100%, $F$11)</f>
        <v>7.3993000000000002</v>
      </c>
      <c r="H195" s="4">
        <f>CHOOSE( CONTROL!$C$32, 8.2919, 8.2908) * CHOOSE(CONTROL!$C$15, $D$11, 100%, $F$11)</f>
        <v>8.2919</v>
      </c>
      <c r="I195" s="8">
        <f>CHOOSE( CONTROL!$C$32, 7.4305, 7.4294) * CHOOSE(CONTROL!$C$15, $D$11, 100%, $F$11)</f>
        <v>7.4305000000000003</v>
      </c>
      <c r="J195" s="4">
        <f>CHOOSE( CONTROL!$C$32, 7.246, 7.245) * CHOOSE(CONTROL!$C$15, $D$11, 100%, $F$11)</f>
        <v>7.2460000000000004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30.679200000000002</v>
      </c>
      <c r="R195" s="9"/>
      <c r="S195" s="11"/>
    </row>
    <row r="196" spans="1:19" ht="15.75">
      <c r="A196" s="13">
        <v>47088</v>
      </c>
      <c r="B196" s="8">
        <f>CHOOSE( CONTROL!$C$32, 7.4617, 7.4606) * CHOOSE(CONTROL!$C$15, $D$11, 100%, $F$11)</f>
        <v>7.4617000000000004</v>
      </c>
      <c r="C196" s="8">
        <f>CHOOSE( CONTROL!$C$32, 7.4668, 7.4657) * CHOOSE(CONTROL!$C$15, $D$11, 100%, $F$11)</f>
        <v>7.4668000000000001</v>
      </c>
      <c r="D196" s="8">
        <f>CHOOSE( CONTROL!$C$32, 7.4504, 7.4493) * CHOOSE( CONTROL!$C$15, $D$11, 100%, $F$11)</f>
        <v>7.4504000000000001</v>
      </c>
      <c r="E196" s="12">
        <f>CHOOSE( CONTROL!$C$32, 7.4559, 7.4548) * CHOOSE( CONTROL!$C$15, $D$11, 100%, $F$11)</f>
        <v>7.4558999999999997</v>
      </c>
      <c r="F196" s="4">
        <f>CHOOSE( CONTROL!$C$32, 8.127, 8.1259) * CHOOSE(CONTROL!$C$15, $D$11, 100%, $F$11)</f>
        <v>8.1270000000000007</v>
      </c>
      <c r="G196" s="8">
        <f>CHOOSE( CONTROL!$C$32, 7.387, 7.3859) * CHOOSE( CONTROL!$C$15, $D$11, 100%, $F$11)</f>
        <v>7.3869999999999996</v>
      </c>
      <c r="H196" s="4">
        <f>CHOOSE( CONTROL!$C$32, 8.2785, 8.2774) * CHOOSE(CONTROL!$C$15, $D$11, 100%, $F$11)</f>
        <v>8.2784999999999993</v>
      </c>
      <c r="I196" s="8">
        <f>CHOOSE( CONTROL!$C$32, 7.4218, 7.4207) * CHOOSE(CONTROL!$C$15, $D$11, 100%, $F$11)</f>
        <v>7.4218000000000002</v>
      </c>
      <c r="J196" s="4">
        <f>CHOOSE( CONTROL!$C$32, 7.2329, 7.2318) * CHOOSE(CONTROL!$C$15, $D$11, 100%, $F$11)</f>
        <v>7.2328999999999999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31.701799999999999</v>
      </c>
      <c r="R196" s="9"/>
      <c r="S196" s="11"/>
    </row>
    <row r="197" spans="1:19" ht="15.75">
      <c r="A197" s="13">
        <v>47119</v>
      </c>
      <c r="B197" s="8">
        <f>CHOOSE( CONTROL!$C$32, 7.7302, 7.7291) * CHOOSE(CONTROL!$C$15, $D$11, 100%, $F$11)</f>
        <v>7.7302</v>
      </c>
      <c r="C197" s="8">
        <f>CHOOSE( CONTROL!$C$32, 7.7353, 7.7342) * CHOOSE(CONTROL!$C$15, $D$11, 100%, $F$11)</f>
        <v>7.7352999999999996</v>
      </c>
      <c r="D197" s="8">
        <f>CHOOSE( CONTROL!$C$32, 7.714, 7.7129) * CHOOSE( CONTROL!$C$15, $D$11, 100%, $F$11)</f>
        <v>7.7140000000000004</v>
      </c>
      <c r="E197" s="12">
        <f>CHOOSE( CONTROL!$C$32, 7.7212, 7.7201) * CHOOSE( CONTROL!$C$15, $D$11, 100%, $F$11)</f>
        <v>7.7211999999999996</v>
      </c>
      <c r="F197" s="4">
        <f>CHOOSE( CONTROL!$C$32, 8.3955, 8.3944) * CHOOSE(CONTROL!$C$15, $D$11, 100%, $F$11)</f>
        <v>8.3955000000000002</v>
      </c>
      <c r="G197" s="8">
        <f>CHOOSE( CONTROL!$C$32, 7.6418, 7.6407) * CHOOSE( CONTROL!$C$15, $D$11, 100%, $F$11)</f>
        <v>7.6417999999999999</v>
      </c>
      <c r="H197" s="4">
        <f>CHOOSE( CONTROL!$C$32, 8.5438, 8.5427) * CHOOSE(CONTROL!$C$15, $D$11, 100%, $F$11)</f>
        <v>8.5437999999999992</v>
      </c>
      <c r="I197" s="8">
        <f>CHOOSE( CONTROL!$C$32, 7.6445, 7.6434) * CHOOSE(CONTROL!$C$15, $D$11, 100%, $F$11)</f>
        <v>7.6444999999999999</v>
      </c>
      <c r="J197" s="4">
        <f>CHOOSE( CONTROL!$C$32, 7.4934, 7.4923) * CHOOSE(CONTROL!$C$15, $D$11, 100%, $F$11)</f>
        <v>7.4934000000000003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31.517700000000001</v>
      </c>
      <c r="R197" s="9"/>
      <c r="S197" s="11"/>
    </row>
    <row r="198" spans="1:19" ht="15.75">
      <c r="A198" s="13">
        <v>47150</v>
      </c>
      <c r="B198" s="8">
        <f>CHOOSE( CONTROL!$C$32, 7.2311, 7.23) * CHOOSE(CONTROL!$C$15, $D$11, 100%, $F$11)</f>
        <v>7.2310999999999996</v>
      </c>
      <c r="C198" s="8">
        <f>CHOOSE( CONTROL!$C$32, 7.2362, 7.2351) * CHOOSE(CONTROL!$C$15, $D$11, 100%, $F$11)</f>
        <v>7.2362000000000002</v>
      </c>
      <c r="D198" s="8">
        <f>CHOOSE( CONTROL!$C$32, 7.2148, 7.2137) * CHOOSE( CONTROL!$C$15, $D$11, 100%, $F$11)</f>
        <v>7.2148000000000003</v>
      </c>
      <c r="E198" s="12">
        <f>CHOOSE( CONTROL!$C$32, 7.2221, 7.221) * CHOOSE( CONTROL!$C$15, $D$11, 100%, $F$11)</f>
        <v>7.2221000000000002</v>
      </c>
      <c r="F198" s="4">
        <f>CHOOSE( CONTROL!$C$32, 7.8964, 7.8953) * CHOOSE(CONTROL!$C$15, $D$11, 100%, $F$11)</f>
        <v>7.8963999999999999</v>
      </c>
      <c r="G198" s="8">
        <f>CHOOSE( CONTROL!$C$32, 7.1484, 7.1474) * CHOOSE( CONTROL!$C$15, $D$11, 100%, $F$11)</f>
        <v>7.1483999999999996</v>
      </c>
      <c r="H198" s="4">
        <f>CHOOSE( CONTROL!$C$32, 8.0505, 8.0495) * CHOOSE(CONTROL!$C$15, $D$11, 100%, $F$11)</f>
        <v>8.0504999999999995</v>
      </c>
      <c r="I198" s="8">
        <f>CHOOSE( CONTROL!$C$32, 7.1595, 7.1584) * CHOOSE(CONTROL!$C$15, $D$11, 100%, $F$11)</f>
        <v>7.1595000000000004</v>
      </c>
      <c r="J198" s="4">
        <f>CHOOSE( CONTROL!$C$32, 7.009, 7.008) * CHOOSE(CONTROL!$C$15, $D$11, 100%, $F$11)</f>
        <v>7.0090000000000003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28.467600000000001</v>
      </c>
      <c r="R198" s="9"/>
      <c r="S198" s="11"/>
    </row>
    <row r="199" spans="1:19" ht="15.75">
      <c r="A199" s="13">
        <v>47178</v>
      </c>
      <c r="B199" s="8">
        <f>CHOOSE( CONTROL!$C$32, 7.0774, 7.0763) * CHOOSE(CONTROL!$C$15, $D$11, 100%, $F$11)</f>
        <v>7.0773999999999999</v>
      </c>
      <c r="C199" s="8">
        <f>CHOOSE( CONTROL!$C$32, 7.0825, 7.0814) * CHOOSE(CONTROL!$C$15, $D$11, 100%, $F$11)</f>
        <v>7.0824999999999996</v>
      </c>
      <c r="D199" s="8">
        <f>CHOOSE( CONTROL!$C$32, 7.0604, 7.0593) * CHOOSE( CONTROL!$C$15, $D$11, 100%, $F$11)</f>
        <v>7.0603999999999996</v>
      </c>
      <c r="E199" s="12">
        <f>CHOOSE( CONTROL!$C$32, 7.0679, 7.0668) * CHOOSE( CONTROL!$C$15, $D$11, 100%, $F$11)</f>
        <v>7.0678999999999998</v>
      </c>
      <c r="F199" s="4">
        <f>CHOOSE( CONTROL!$C$32, 7.7427, 7.7416) * CHOOSE(CONTROL!$C$15, $D$11, 100%, $F$11)</f>
        <v>7.7427000000000001</v>
      </c>
      <c r="G199" s="8">
        <f>CHOOSE( CONTROL!$C$32, 6.9961, 6.995) * CHOOSE( CONTROL!$C$15, $D$11, 100%, $F$11)</f>
        <v>6.9961000000000002</v>
      </c>
      <c r="H199" s="4">
        <f>CHOOSE( CONTROL!$C$32, 7.8986, 7.8976) * CHOOSE(CONTROL!$C$15, $D$11, 100%, $F$11)</f>
        <v>7.8986000000000001</v>
      </c>
      <c r="I199" s="8">
        <f>CHOOSE( CONTROL!$C$32, 7.0082, 7.0072) * CHOOSE(CONTROL!$C$15, $D$11, 100%, $F$11)</f>
        <v>7.0082000000000004</v>
      </c>
      <c r="J199" s="4">
        <f>CHOOSE( CONTROL!$C$32, 6.8598, 6.8588) * CHOOSE(CONTROL!$C$15, $D$11, 100%, $F$11)</f>
        <v>6.8597999999999999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31.517700000000001</v>
      </c>
      <c r="R199" s="9"/>
      <c r="S199" s="11"/>
    </row>
    <row r="200" spans="1:19" ht="15.75">
      <c r="A200" s="13">
        <v>47209</v>
      </c>
      <c r="B200" s="8">
        <f>CHOOSE( CONTROL!$C$32, 7.1856, 7.1845) * CHOOSE(CONTROL!$C$15, $D$11, 100%, $F$11)</f>
        <v>7.1856</v>
      </c>
      <c r="C200" s="8">
        <f>CHOOSE( CONTROL!$C$32, 7.1901, 7.189) * CHOOSE(CONTROL!$C$15, $D$11, 100%, $F$11)</f>
        <v>7.1901000000000002</v>
      </c>
      <c r="D200" s="8">
        <f>CHOOSE( CONTROL!$C$32, 7.1929, 7.1918) * CHOOSE( CONTROL!$C$15, $D$11, 100%, $F$11)</f>
        <v>7.1928999999999998</v>
      </c>
      <c r="E200" s="12">
        <f>CHOOSE( CONTROL!$C$32, 7.1915, 7.1904) * CHOOSE( CONTROL!$C$15, $D$11, 100%, $F$11)</f>
        <v>7.1914999999999996</v>
      </c>
      <c r="F200" s="4">
        <f>CHOOSE( CONTROL!$C$32, 7.8939, 7.8928) * CHOOSE(CONTROL!$C$15, $D$11, 100%, $F$11)</f>
        <v>7.8939000000000004</v>
      </c>
      <c r="G200" s="8">
        <f>CHOOSE( CONTROL!$C$32, 7.1127, 7.1116) * CHOOSE( CONTROL!$C$15, $D$11, 100%, $F$11)</f>
        <v>7.1127000000000002</v>
      </c>
      <c r="H200" s="4">
        <f>CHOOSE( CONTROL!$C$32, 8.0481, 8.047) * CHOOSE(CONTROL!$C$15, $D$11, 100%, $F$11)</f>
        <v>8.0480999999999998</v>
      </c>
      <c r="I200" s="8">
        <f>CHOOSE( CONTROL!$C$32, 7.0848, 7.0837) * CHOOSE(CONTROL!$C$15, $D$11, 100%, $F$11)</f>
        <v>7.0848000000000004</v>
      </c>
      <c r="J200" s="4">
        <f>CHOOSE( CONTROL!$C$32, 6.9641, 6.963) * CHOOSE(CONTROL!$C$15, $D$11, 100%, $F$11)</f>
        <v>6.9641000000000002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1.2509999999999999</v>
      </c>
      <c r="Q200" s="9">
        <v>30.501000000000001</v>
      </c>
      <c r="R200" s="9"/>
      <c r="S200" s="11"/>
    </row>
    <row r="201" spans="1:19" ht="15.75">
      <c r="A201" s="13">
        <v>47239</v>
      </c>
      <c r="B201" s="8">
        <f>CHOOSE( CONTROL!$C$32, 7.3787, 7.377) * CHOOSE(CONTROL!$C$15, $D$11, 100%, $F$11)</f>
        <v>7.3787000000000003</v>
      </c>
      <c r="C201" s="8">
        <f>CHOOSE( CONTROL!$C$32, 7.3866, 7.385) * CHOOSE(CONTROL!$C$15, $D$11, 100%, $F$11)</f>
        <v>7.3865999999999996</v>
      </c>
      <c r="D201" s="8">
        <f>CHOOSE( CONTROL!$C$32, 7.3834, 7.3817) * CHOOSE( CONTROL!$C$15, $D$11, 100%, $F$11)</f>
        <v>7.3834</v>
      </c>
      <c r="E201" s="12">
        <f>CHOOSE( CONTROL!$C$32, 7.3834, 7.3817) * CHOOSE( CONTROL!$C$15, $D$11, 100%, $F$11)</f>
        <v>7.3834</v>
      </c>
      <c r="F201" s="4">
        <f>CHOOSE( CONTROL!$C$32, 8.0856, 8.084) * CHOOSE(CONTROL!$C$15, $D$11, 100%, $F$11)</f>
        <v>8.0855999999999995</v>
      </c>
      <c r="G201" s="8">
        <f>CHOOSE( CONTROL!$C$32, 7.3021, 7.3004) * CHOOSE( CONTROL!$C$15, $D$11, 100%, $F$11)</f>
        <v>7.3021000000000003</v>
      </c>
      <c r="H201" s="4">
        <f>CHOOSE( CONTROL!$C$32, 8.2376, 8.2359) * CHOOSE(CONTROL!$C$15, $D$11, 100%, $F$11)</f>
        <v>8.2376000000000005</v>
      </c>
      <c r="I201" s="8">
        <f>CHOOSE( CONTROL!$C$32, 7.2702, 7.2686) * CHOOSE(CONTROL!$C$15, $D$11, 100%, $F$11)</f>
        <v>7.2702</v>
      </c>
      <c r="J201" s="4">
        <f>CHOOSE( CONTROL!$C$32, 7.1502, 7.1486) * CHOOSE(CONTROL!$C$15, $D$11, 100%, $F$11)</f>
        <v>7.1501999999999999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1.2927</v>
      </c>
      <c r="Q201" s="9">
        <v>31.517700000000001</v>
      </c>
      <c r="R201" s="9"/>
      <c r="S201" s="11"/>
    </row>
    <row r="202" spans="1:19" ht="15.75">
      <c r="A202" s="13">
        <v>47270</v>
      </c>
      <c r="B202" s="8">
        <f>CHOOSE( CONTROL!$C$32, 7.2602, 7.2586) * CHOOSE(CONTROL!$C$15, $D$11, 100%, $F$11)</f>
        <v>7.2602000000000002</v>
      </c>
      <c r="C202" s="8">
        <f>CHOOSE( CONTROL!$C$32, 7.2682, 7.2666) * CHOOSE(CONTROL!$C$15, $D$11, 100%, $F$11)</f>
        <v>7.2682000000000002</v>
      </c>
      <c r="D202" s="8">
        <f>CHOOSE( CONTROL!$C$32, 7.2652, 7.2635) * CHOOSE( CONTROL!$C$15, $D$11, 100%, $F$11)</f>
        <v>7.2652000000000001</v>
      </c>
      <c r="E202" s="12">
        <f>CHOOSE( CONTROL!$C$32, 7.2651, 7.2634) * CHOOSE( CONTROL!$C$15, $D$11, 100%, $F$11)</f>
        <v>7.2651000000000003</v>
      </c>
      <c r="F202" s="4">
        <f>CHOOSE( CONTROL!$C$32, 7.9672, 7.9655) * CHOOSE(CONTROL!$C$15, $D$11, 100%, $F$11)</f>
        <v>7.9672000000000001</v>
      </c>
      <c r="G202" s="8">
        <f>CHOOSE( CONTROL!$C$32, 7.1852, 7.1836) * CHOOSE( CONTROL!$C$15, $D$11, 100%, $F$11)</f>
        <v>7.1852</v>
      </c>
      <c r="H202" s="4">
        <f>CHOOSE( CONTROL!$C$32, 8.1205, 8.1189) * CHOOSE(CONTROL!$C$15, $D$11, 100%, $F$11)</f>
        <v>8.1204999999999998</v>
      </c>
      <c r="I202" s="8">
        <f>CHOOSE( CONTROL!$C$32, 7.156, 7.1544) * CHOOSE(CONTROL!$C$15, $D$11, 100%, $F$11)</f>
        <v>7.1559999999999997</v>
      </c>
      <c r="J202" s="4">
        <f>CHOOSE( CONTROL!$C$32, 7.0353, 7.0336) * CHOOSE(CONTROL!$C$15, $D$11, 100%, $F$11)</f>
        <v>7.0353000000000003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1.2509999999999999</v>
      </c>
      <c r="Q202" s="9">
        <v>30.501000000000001</v>
      </c>
      <c r="R202" s="9"/>
      <c r="S202" s="11"/>
    </row>
    <row r="203" spans="1:19" ht="15.75">
      <c r="A203" s="13">
        <v>47300</v>
      </c>
      <c r="B203" s="8">
        <f>CHOOSE( CONTROL!$C$32, 7.5721, 7.5705) * CHOOSE(CONTROL!$C$15, $D$11, 100%, $F$11)</f>
        <v>7.5720999999999998</v>
      </c>
      <c r="C203" s="8">
        <f>CHOOSE( CONTROL!$C$32, 7.5801, 7.5784) * CHOOSE(CONTROL!$C$15, $D$11, 100%, $F$11)</f>
        <v>7.5800999999999998</v>
      </c>
      <c r="D203" s="8">
        <f>CHOOSE( CONTROL!$C$32, 7.5773, 7.5756) * CHOOSE( CONTROL!$C$15, $D$11, 100%, $F$11)</f>
        <v>7.5773000000000001</v>
      </c>
      <c r="E203" s="12">
        <f>CHOOSE( CONTROL!$C$32, 7.5771, 7.5754) * CHOOSE( CONTROL!$C$15, $D$11, 100%, $F$11)</f>
        <v>7.5770999999999997</v>
      </c>
      <c r="F203" s="4">
        <f>CHOOSE( CONTROL!$C$32, 8.2791, 8.2774) * CHOOSE(CONTROL!$C$15, $D$11, 100%, $F$11)</f>
        <v>8.2790999999999997</v>
      </c>
      <c r="G203" s="8">
        <f>CHOOSE( CONTROL!$C$32, 7.4936, 7.492) * CHOOSE( CONTROL!$C$15, $D$11, 100%, $F$11)</f>
        <v>7.4935999999999998</v>
      </c>
      <c r="H203" s="4">
        <f>CHOOSE( CONTROL!$C$32, 8.4287, 8.4271) * CHOOSE(CONTROL!$C$15, $D$11, 100%, $F$11)</f>
        <v>8.4286999999999992</v>
      </c>
      <c r="I203" s="8">
        <f>CHOOSE( CONTROL!$C$32, 7.4597, 7.4581) * CHOOSE(CONTROL!$C$15, $D$11, 100%, $F$11)</f>
        <v>7.4596999999999998</v>
      </c>
      <c r="J203" s="4">
        <f>CHOOSE( CONTROL!$C$32, 7.3379, 7.3363) * CHOOSE(CONTROL!$C$15, $D$11, 100%, $F$11)</f>
        <v>7.3379000000000003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1.2927</v>
      </c>
      <c r="Q203" s="9">
        <v>31.517700000000001</v>
      </c>
      <c r="R203" s="9"/>
      <c r="S203" s="11"/>
    </row>
    <row r="204" spans="1:19" ht="15.75">
      <c r="A204" s="13">
        <v>47331</v>
      </c>
      <c r="B204" s="8">
        <f>CHOOSE( CONTROL!$C$32, 6.9886, 6.9869) * CHOOSE(CONTROL!$C$15, $D$11, 100%, $F$11)</f>
        <v>6.9885999999999999</v>
      </c>
      <c r="C204" s="8">
        <f>CHOOSE( CONTROL!$C$32, 6.9966, 6.9949) * CHOOSE(CONTROL!$C$15, $D$11, 100%, $F$11)</f>
        <v>6.9965999999999999</v>
      </c>
      <c r="D204" s="8">
        <f>CHOOSE( CONTROL!$C$32, 6.9939, 6.9922) * CHOOSE( CONTROL!$C$15, $D$11, 100%, $F$11)</f>
        <v>6.9939</v>
      </c>
      <c r="E204" s="12">
        <f>CHOOSE( CONTROL!$C$32, 6.9937, 6.992) * CHOOSE( CONTROL!$C$15, $D$11, 100%, $F$11)</f>
        <v>6.9936999999999996</v>
      </c>
      <c r="F204" s="4">
        <f>CHOOSE( CONTROL!$C$32, 7.6955, 7.6939) * CHOOSE(CONTROL!$C$15, $D$11, 100%, $F$11)</f>
        <v>7.6955</v>
      </c>
      <c r="G204" s="8">
        <f>CHOOSE( CONTROL!$C$32, 6.917, 6.9154) * CHOOSE( CONTROL!$C$15, $D$11, 100%, $F$11)</f>
        <v>6.9169999999999998</v>
      </c>
      <c r="H204" s="4">
        <f>CHOOSE( CONTROL!$C$32, 7.852, 7.8504) * CHOOSE(CONTROL!$C$15, $D$11, 100%, $F$11)</f>
        <v>7.8520000000000003</v>
      </c>
      <c r="I204" s="8">
        <f>CHOOSE( CONTROL!$C$32, 6.8934, 6.8918) * CHOOSE(CONTROL!$C$15, $D$11, 100%, $F$11)</f>
        <v>6.8933999999999997</v>
      </c>
      <c r="J204" s="4">
        <f>CHOOSE( CONTROL!$C$32, 6.7716, 6.77) * CHOOSE(CONTROL!$C$15, $D$11, 100%, $F$11)</f>
        <v>6.7716000000000003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1.2927</v>
      </c>
      <c r="Q204" s="9">
        <v>31.517700000000001</v>
      </c>
      <c r="R204" s="9"/>
      <c r="S204" s="11"/>
    </row>
    <row r="205" spans="1:19" ht="15.75">
      <c r="A205" s="13">
        <v>47362</v>
      </c>
      <c r="B205" s="8">
        <f>CHOOSE( CONTROL!$C$32, 6.8425, 6.8408) * CHOOSE(CONTROL!$C$15, $D$11, 100%, $F$11)</f>
        <v>6.8425000000000002</v>
      </c>
      <c r="C205" s="8">
        <f>CHOOSE( CONTROL!$C$32, 6.8504, 6.8488) * CHOOSE(CONTROL!$C$15, $D$11, 100%, $F$11)</f>
        <v>6.8503999999999996</v>
      </c>
      <c r="D205" s="8">
        <f>CHOOSE( CONTROL!$C$32, 6.8477, 6.846) * CHOOSE( CONTROL!$C$15, $D$11, 100%, $F$11)</f>
        <v>6.8476999999999997</v>
      </c>
      <c r="E205" s="12">
        <f>CHOOSE( CONTROL!$C$32, 6.8475, 6.8458) * CHOOSE( CONTROL!$C$15, $D$11, 100%, $F$11)</f>
        <v>6.8475000000000001</v>
      </c>
      <c r="F205" s="4">
        <f>CHOOSE( CONTROL!$C$32, 7.5494, 7.5477) * CHOOSE(CONTROL!$C$15, $D$11, 100%, $F$11)</f>
        <v>7.5494000000000003</v>
      </c>
      <c r="G205" s="8">
        <f>CHOOSE( CONTROL!$C$32, 6.7725, 6.7709) * CHOOSE( CONTROL!$C$15, $D$11, 100%, $F$11)</f>
        <v>6.7725</v>
      </c>
      <c r="H205" s="4">
        <f>CHOOSE( CONTROL!$C$32, 7.7076, 7.706) * CHOOSE(CONTROL!$C$15, $D$11, 100%, $F$11)</f>
        <v>7.7076000000000002</v>
      </c>
      <c r="I205" s="8">
        <f>CHOOSE( CONTROL!$C$32, 6.7514, 6.7498) * CHOOSE(CONTROL!$C$15, $D$11, 100%, $F$11)</f>
        <v>6.7514000000000003</v>
      </c>
      <c r="J205" s="4">
        <f>CHOOSE( CONTROL!$C$32, 6.6298, 6.6282) * CHOOSE(CONTROL!$C$15, $D$11, 100%, $F$11)</f>
        <v>6.6298000000000004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1.2509999999999999</v>
      </c>
      <c r="Q205" s="9">
        <v>30.501000000000001</v>
      </c>
      <c r="R205" s="9"/>
      <c r="S205" s="11"/>
    </row>
    <row r="206" spans="1:19" ht="15.75">
      <c r="A206" s="13">
        <v>47392</v>
      </c>
      <c r="B206" s="8">
        <f>CHOOSE( CONTROL!$C$32, 7.1436, 7.1425) * CHOOSE(CONTROL!$C$15, $D$11, 100%, $F$11)</f>
        <v>7.1436000000000002</v>
      </c>
      <c r="C206" s="8">
        <f>CHOOSE( CONTROL!$C$32, 7.1489, 7.1478) * CHOOSE(CONTROL!$C$15, $D$11, 100%, $F$11)</f>
        <v>7.1489000000000003</v>
      </c>
      <c r="D206" s="8">
        <f>CHOOSE( CONTROL!$C$32, 7.1518, 7.1507) * CHOOSE( CONTROL!$C$15, $D$11, 100%, $F$11)</f>
        <v>7.1517999999999997</v>
      </c>
      <c r="E206" s="12">
        <f>CHOOSE( CONTROL!$C$32, 7.1503, 7.1492) * CHOOSE( CONTROL!$C$15, $D$11, 100%, $F$11)</f>
        <v>7.1502999999999997</v>
      </c>
      <c r="F206" s="4">
        <f>CHOOSE( CONTROL!$C$32, 7.8522, 7.8511) * CHOOSE(CONTROL!$C$15, $D$11, 100%, $F$11)</f>
        <v>7.8521999999999998</v>
      </c>
      <c r="G206" s="8">
        <f>CHOOSE( CONTROL!$C$32, 7.072, 7.0709) * CHOOSE( CONTROL!$C$15, $D$11, 100%, $F$11)</f>
        <v>7.0720000000000001</v>
      </c>
      <c r="H206" s="4">
        <f>CHOOSE( CONTROL!$C$32, 8.0069, 8.0058) * CHOOSE(CONTROL!$C$15, $D$11, 100%, $F$11)</f>
        <v>8.0068999999999999</v>
      </c>
      <c r="I206" s="8">
        <f>CHOOSE( CONTROL!$C$32, 7.0462, 7.0452) * CHOOSE(CONTROL!$C$15, $D$11, 100%, $F$11)</f>
        <v>7.0461999999999998</v>
      </c>
      <c r="J206" s="4">
        <f>CHOOSE( CONTROL!$C$32, 6.9237, 6.9226) * CHOOSE(CONTROL!$C$15, $D$11, 100%, $F$11)</f>
        <v>6.9237000000000002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1.2927</v>
      </c>
      <c r="Q206" s="9">
        <v>31.517700000000001</v>
      </c>
      <c r="R206" s="9"/>
      <c r="S206" s="11"/>
    </row>
    <row r="207" spans="1:19" ht="15.75">
      <c r="A207" s="13">
        <v>47423</v>
      </c>
      <c r="B207" s="8">
        <f>CHOOSE( CONTROL!$C$32, 7.7032, 7.7021) * CHOOSE(CONTROL!$C$15, $D$11, 100%, $F$11)</f>
        <v>7.7031999999999998</v>
      </c>
      <c r="C207" s="8">
        <f>CHOOSE( CONTROL!$C$32, 7.7082, 7.7072) * CHOOSE(CONTROL!$C$15, $D$11, 100%, $F$11)</f>
        <v>7.7081999999999997</v>
      </c>
      <c r="D207" s="8">
        <f>CHOOSE( CONTROL!$C$32, 7.6904, 7.6893) * CHOOSE( CONTROL!$C$15, $D$11, 100%, $F$11)</f>
        <v>7.6904000000000003</v>
      </c>
      <c r="E207" s="12">
        <f>CHOOSE( CONTROL!$C$32, 7.6964, 7.6953) * CHOOSE( CONTROL!$C$15, $D$11, 100%, $F$11)</f>
        <v>7.6963999999999997</v>
      </c>
      <c r="F207" s="4">
        <f>CHOOSE( CONTROL!$C$32, 8.3684, 8.3674) * CHOOSE(CONTROL!$C$15, $D$11, 100%, $F$11)</f>
        <v>8.3683999999999994</v>
      </c>
      <c r="G207" s="8">
        <f>CHOOSE( CONTROL!$C$32, 7.6245, 7.6235) * CHOOSE( CONTROL!$C$15, $D$11, 100%, $F$11)</f>
        <v>7.6245000000000003</v>
      </c>
      <c r="H207" s="4">
        <f>CHOOSE( CONTROL!$C$32, 8.5171, 8.516) * CHOOSE(CONTROL!$C$15, $D$11, 100%, $F$11)</f>
        <v>8.5170999999999992</v>
      </c>
      <c r="I207" s="8">
        <f>CHOOSE( CONTROL!$C$32, 7.6517, 7.6507) * CHOOSE(CONTROL!$C$15, $D$11, 100%, $F$11)</f>
        <v>7.6516999999999999</v>
      </c>
      <c r="J207" s="4">
        <f>CHOOSE( CONTROL!$C$32, 7.4672, 7.4661) * CHOOSE(CONTROL!$C$15, $D$11, 100%, $F$11)</f>
        <v>7.4672000000000001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30.501000000000001</v>
      </c>
      <c r="R207" s="9"/>
      <c r="S207" s="11"/>
    </row>
    <row r="208" spans="1:19" ht="15.75">
      <c r="A208" s="13">
        <v>47453</v>
      </c>
      <c r="B208" s="8">
        <f>CHOOSE( CONTROL!$C$32, 7.6892, 7.6881) * CHOOSE(CONTROL!$C$15, $D$11, 100%, $F$11)</f>
        <v>7.6891999999999996</v>
      </c>
      <c r="C208" s="8">
        <f>CHOOSE( CONTROL!$C$32, 7.6943, 7.6932) * CHOOSE(CONTROL!$C$15, $D$11, 100%, $F$11)</f>
        <v>7.6943000000000001</v>
      </c>
      <c r="D208" s="8">
        <f>CHOOSE( CONTROL!$C$32, 7.6779, 7.6768) * CHOOSE( CONTROL!$C$15, $D$11, 100%, $F$11)</f>
        <v>7.6779000000000002</v>
      </c>
      <c r="E208" s="12">
        <f>CHOOSE( CONTROL!$C$32, 7.6834, 7.6823) * CHOOSE( CONTROL!$C$15, $D$11, 100%, $F$11)</f>
        <v>7.6833999999999998</v>
      </c>
      <c r="F208" s="4">
        <f>CHOOSE( CONTROL!$C$32, 8.3545, 8.3534) * CHOOSE(CONTROL!$C$15, $D$11, 100%, $F$11)</f>
        <v>8.3544999999999998</v>
      </c>
      <c r="G208" s="8">
        <f>CHOOSE( CONTROL!$C$32, 7.6117, 7.6107) * CHOOSE( CONTROL!$C$15, $D$11, 100%, $F$11)</f>
        <v>7.6116999999999999</v>
      </c>
      <c r="H208" s="4">
        <f>CHOOSE( CONTROL!$C$32, 8.5033, 8.5022) * CHOOSE(CONTROL!$C$15, $D$11, 100%, $F$11)</f>
        <v>8.5032999999999994</v>
      </c>
      <c r="I208" s="8">
        <f>CHOOSE( CONTROL!$C$32, 7.6426, 7.6416) * CHOOSE(CONTROL!$C$15, $D$11, 100%, $F$11)</f>
        <v>7.6425999999999998</v>
      </c>
      <c r="J208" s="4">
        <f>CHOOSE( CONTROL!$C$32, 7.4536, 7.4525) * CHOOSE(CONTROL!$C$15, $D$11, 100%, $F$11)</f>
        <v>7.4535999999999998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31.517700000000001</v>
      </c>
      <c r="R208" s="9"/>
      <c r="S208" s="11"/>
    </row>
    <row r="209" spans="1:19" ht="15.75">
      <c r="A209" s="13">
        <v>47484</v>
      </c>
      <c r="B209" s="8">
        <f>CHOOSE( CONTROL!$C$32, 7.9589, 7.9578) * CHOOSE(CONTROL!$C$15, $D$11, 100%, $F$11)</f>
        <v>7.9588999999999999</v>
      </c>
      <c r="C209" s="8">
        <f>CHOOSE( CONTROL!$C$32, 7.9639, 7.9628) * CHOOSE(CONTROL!$C$15, $D$11, 100%, $F$11)</f>
        <v>7.9638999999999998</v>
      </c>
      <c r="D209" s="8">
        <f>CHOOSE( CONTROL!$C$32, 7.9426, 7.9416) * CHOOSE( CONTROL!$C$15, $D$11, 100%, $F$11)</f>
        <v>7.9425999999999997</v>
      </c>
      <c r="E209" s="12">
        <f>CHOOSE( CONTROL!$C$32, 7.9499, 7.9488) * CHOOSE( CONTROL!$C$15, $D$11, 100%, $F$11)</f>
        <v>7.9499000000000004</v>
      </c>
      <c r="F209" s="4">
        <f>CHOOSE( CONTROL!$C$32, 8.6241, 8.623) * CHOOSE(CONTROL!$C$15, $D$11, 100%, $F$11)</f>
        <v>8.6241000000000003</v>
      </c>
      <c r="G209" s="8">
        <f>CHOOSE( CONTROL!$C$32, 7.8678, 7.8667) * CHOOSE( CONTROL!$C$15, $D$11, 100%, $F$11)</f>
        <v>7.8677999999999999</v>
      </c>
      <c r="H209" s="4">
        <f>CHOOSE( CONTROL!$C$32, 8.7698, 8.7687) * CHOOSE(CONTROL!$C$15, $D$11, 100%, $F$11)</f>
        <v>8.7698</v>
      </c>
      <c r="I209" s="8">
        <f>CHOOSE( CONTROL!$C$32, 7.8665, 7.8655) * CHOOSE(CONTROL!$C$15, $D$11, 100%, $F$11)</f>
        <v>7.8665000000000003</v>
      </c>
      <c r="J209" s="4">
        <f>CHOOSE( CONTROL!$C$32, 7.7153, 7.7143) * CHOOSE(CONTROL!$C$15, $D$11, 100%, $F$11)</f>
        <v>7.7153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31.333600000000001</v>
      </c>
      <c r="R209" s="9"/>
      <c r="S209" s="11"/>
    </row>
    <row r="210" spans="1:19" ht="15.75">
      <c r="A210" s="13">
        <v>47515</v>
      </c>
      <c r="B210" s="8">
        <f>CHOOSE( CONTROL!$C$32, 7.445, 7.4439) * CHOOSE(CONTROL!$C$15, $D$11, 100%, $F$11)</f>
        <v>7.4450000000000003</v>
      </c>
      <c r="C210" s="8">
        <f>CHOOSE( CONTROL!$C$32, 7.4501, 7.449) * CHOOSE(CONTROL!$C$15, $D$11, 100%, $F$11)</f>
        <v>7.4500999999999999</v>
      </c>
      <c r="D210" s="8">
        <f>CHOOSE( CONTROL!$C$32, 7.4286, 7.4276) * CHOOSE( CONTROL!$C$15, $D$11, 100%, $F$11)</f>
        <v>7.4286000000000003</v>
      </c>
      <c r="E210" s="12">
        <f>CHOOSE( CONTROL!$C$32, 7.4359, 7.4349) * CHOOSE( CONTROL!$C$15, $D$11, 100%, $F$11)</f>
        <v>7.4359000000000002</v>
      </c>
      <c r="F210" s="4">
        <f>CHOOSE( CONTROL!$C$32, 8.1103, 8.1092) * CHOOSE(CONTROL!$C$15, $D$11, 100%, $F$11)</f>
        <v>8.1103000000000005</v>
      </c>
      <c r="G210" s="8">
        <f>CHOOSE( CONTROL!$C$32, 7.3598, 7.3587) * CHOOSE( CONTROL!$C$15, $D$11, 100%, $F$11)</f>
        <v>7.3597999999999999</v>
      </c>
      <c r="H210" s="4">
        <f>CHOOSE( CONTROL!$C$32, 8.2619, 8.2609) * CHOOSE(CONTROL!$C$15, $D$11, 100%, $F$11)</f>
        <v>8.2619000000000007</v>
      </c>
      <c r="I210" s="8">
        <f>CHOOSE( CONTROL!$C$32, 7.3671, 7.3661) * CHOOSE(CONTROL!$C$15, $D$11, 100%, $F$11)</f>
        <v>7.3670999999999998</v>
      </c>
      <c r="J210" s="4">
        <f>CHOOSE( CONTROL!$C$32, 7.2166, 7.2155) * CHOOSE(CONTROL!$C$15, $D$11, 100%, $F$11)</f>
        <v>7.2165999999999997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28.301300000000001</v>
      </c>
      <c r="R210" s="9"/>
      <c r="S210" s="11"/>
    </row>
    <row r="211" spans="1:19" ht="15.75">
      <c r="A211" s="13">
        <v>47543</v>
      </c>
      <c r="B211" s="8">
        <f>CHOOSE( CONTROL!$C$32, 7.2867, 7.2856) * CHOOSE(CONTROL!$C$15, $D$11, 100%, $F$11)</f>
        <v>7.2866999999999997</v>
      </c>
      <c r="C211" s="8">
        <f>CHOOSE( CONTROL!$C$32, 7.2918, 7.2907) * CHOOSE(CONTROL!$C$15, $D$11, 100%, $F$11)</f>
        <v>7.2918000000000003</v>
      </c>
      <c r="D211" s="8">
        <f>CHOOSE( CONTROL!$C$32, 7.2697, 7.2686) * CHOOSE( CONTROL!$C$15, $D$11, 100%, $F$11)</f>
        <v>7.2697000000000003</v>
      </c>
      <c r="E211" s="12">
        <f>CHOOSE( CONTROL!$C$32, 7.2772, 7.2761) * CHOOSE( CONTROL!$C$15, $D$11, 100%, $F$11)</f>
        <v>7.2771999999999997</v>
      </c>
      <c r="F211" s="4">
        <f>CHOOSE( CONTROL!$C$32, 7.952, 7.9509) * CHOOSE(CONTROL!$C$15, $D$11, 100%, $F$11)</f>
        <v>7.952</v>
      </c>
      <c r="G211" s="8">
        <f>CHOOSE( CONTROL!$C$32, 7.2029, 7.2019) * CHOOSE( CONTROL!$C$15, $D$11, 100%, $F$11)</f>
        <v>7.2028999999999996</v>
      </c>
      <c r="H211" s="4">
        <f>CHOOSE( CONTROL!$C$32, 8.1055, 8.1044) * CHOOSE(CONTROL!$C$15, $D$11, 100%, $F$11)</f>
        <v>8.1054999999999993</v>
      </c>
      <c r="I211" s="8">
        <f>CHOOSE( CONTROL!$C$32, 7.2115, 7.2104) * CHOOSE(CONTROL!$C$15, $D$11, 100%, $F$11)</f>
        <v>7.2115</v>
      </c>
      <c r="J211" s="4">
        <f>CHOOSE( CONTROL!$C$32, 7.063, 7.0619) * CHOOSE(CONTROL!$C$15, $D$11, 100%, $F$11)</f>
        <v>7.0629999999999997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31.333600000000001</v>
      </c>
      <c r="R211" s="9"/>
      <c r="S211" s="11"/>
    </row>
    <row r="212" spans="1:19" ht="15.75">
      <c r="A212" s="13">
        <v>47574</v>
      </c>
      <c r="B212" s="8">
        <f>CHOOSE( CONTROL!$C$32, 7.3981, 7.397) * CHOOSE(CONTROL!$C$15, $D$11, 100%, $F$11)</f>
        <v>7.3981000000000003</v>
      </c>
      <c r="C212" s="8">
        <f>CHOOSE( CONTROL!$C$32, 7.4026, 7.4015) * CHOOSE(CONTROL!$C$15, $D$11, 100%, $F$11)</f>
        <v>7.4025999999999996</v>
      </c>
      <c r="D212" s="8">
        <f>CHOOSE( CONTROL!$C$32, 7.4054, 7.4043) * CHOOSE( CONTROL!$C$15, $D$11, 100%, $F$11)</f>
        <v>7.4054000000000002</v>
      </c>
      <c r="E212" s="12">
        <f>CHOOSE( CONTROL!$C$32, 7.404, 7.4029) * CHOOSE( CONTROL!$C$15, $D$11, 100%, $F$11)</f>
        <v>7.4039999999999999</v>
      </c>
      <c r="F212" s="4">
        <f>CHOOSE( CONTROL!$C$32, 8.1064, 8.1053) * CHOOSE(CONTROL!$C$15, $D$11, 100%, $F$11)</f>
        <v>8.1064000000000007</v>
      </c>
      <c r="G212" s="8">
        <f>CHOOSE( CONTROL!$C$32, 7.3227, 7.3216) * CHOOSE( CONTROL!$C$15, $D$11, 100%, $F$11)</f>
        <v>7.3227000000000002</v>
      </c>
      <c r="H212" s="4">
        <f>CHOOSE( CONTROL!$C$32, 8.2581, 8.257) * CHOOSE(CONTROL!$C$15, $D$11, 100%, $F$11)</f>
        <v>8.2581000000000007</v>
      </c>
      <c r="I212" s="8">
        <f>CHOOSE( CONTROL!$C$32, 7.2911, 7.2901) * CHOOSE(CONTROL!$C$15, $D$11, 100%, $F$11)</f>
        <v>7.2911000000000001</v>
      </c>
      <c r="J212" s="4">
        <f>CHOOSE( CONTROL!$C$32, 7.1703, 7.1693) * CHOOSE(CONTROL!$C$15, $D$11, 100%, $F$11)</f>
        <v>7.1703000000000001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1.2509999999999999</v>
      </c>
      <c r="Q212" s="9">
        <v>30.322800000000001</v>
      </c>
      <c r="R212" s="9"/>
      <c r="S212" s="11"/>
    </row>
    <row r="213" spans="1:19" ht="15.75">
      <c r="A213" s="13">
        <v>47604</v>
      </c>
      <c r="B213" s="8">
        <f>CHOOSE( CONTROL!$C$32, 7.5968, 7.5952) * CHOOSE(CONTROL!$C$15, $D$11, 100%, $F$11)</f>
        <v>7.5968</v>
      </c>
      <c r="C213" s="8">
        <f>CHOOSE( CONTROL!$C$32, 7.6048, 7.6032) * CHOOSE(CONTROL!$C$15, $D$11, 100%, $F$11)</f>
        <v>7.6048</v>
      </c>
      <c r="D213" s="8">
        <f>CHOOSE( CONTROL!$C$32, 7.6016, 7.5999) * CHOOSE( CONTROL!$C$15, $D$11, 100%, $F$11)</f>
        <v>7.6016000000000004</v>
      </c>
      <c r="E213" s="12">
        <f>CHOOSE( CONTROL!$C$32, 7.6015, 7.5999) * CHOOSE( CONTROL!$C$15, $D$11, 100%, $F$11)</f>
        <v>7.6014999999999997</v>
      </c>
      <c r="F213" s="4">
        <f>CHOOSE( CONTROL!$C$32, 8.3038, 8.3021) * CHOOSE(CONTROL!$C$15, $D$11, 100%, $F$11)</f>
        <v>8.3038000000000007</v>
      </c>
      <c r="G213" s="8">
        <f>CHOOSE( CONTROL!$C$32, 7.5177, 7.516) * CHOOSE( CONTROL!$C$15, $D$11, 100%, $F$11)</f>
        <v>7.5176999999999996</v>
      </c>
      <c r="H213" s="4">
        <f>CHOOSE( CONTROL!$C$32, 8.4532, 8.4515) * CHOOSE(CONTROL!$C$15, $D$11, 100%, $F$11)</f>
        <v>8.4532000000000007</v>
      </c>
      <c r="I213" s="8">
        <f>CHOOSE( CONTROL!$C$32, 7.4821, 7.4805) * CHOOSE(CONTROL!$C$15, $D$11, 100%, $F$11)</f>
        <v>7.4821</v>
      </c>
      <c r="J213" s="4">
        <f>CHOOSE( CONTROL!$C$32, 7.3619, 7.3603) * CHOOSE(CONTROL!$C$15, $D$11, 100%, $F$11)</f>
        <v>7.3619000000000003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1.2927</v>
      </c>
      <c r="Q213" s="9">
        <v>31.333600000000001</v>
      </c>
      <c r="R213" s="9"/>
      <c r="S213" s="11"/>
    </row>
    <row r="214" spans="1:19" ht="15.75">
      <c r="A214" s="13">
        <v>47635</v>
      </c>
      <c r="B214" s="8">
        <f>CHOOSE( CONTROL!$C$32, 7.4749, 7.4733) * CHOOSE(CONTROL!$C$15, $D$11, 100%, $F$11)</f>
        <v>7.4748999999999999</v>
      </c>
      <c r="C214" s="8">
        <f>CHOOSE( CONTROL!$C$32, 7.4829, 7.4812) * CHOOSE(CONTROL!$C$15, $D$11, 100%, $F$11)</f>
        <v>7.4828999999999999</v>
      </c>
      <c r="D214" s="8">
        <f>CHOOSE( CONTROL!$C$32, 7.4799, 7.4782) * CHOOSE( CONTROL!$C$15, $D$11, 100%, $F$11)</f>
        <v>7.4798999999999998</v>
      </c>
      <c r="E214" s="12">
        <f>CHOOSE( CONTROL!$C$32, 7.4798, 7.4781) * CHOOSE( CONTROL!$C$15, $D$11, 100%, $F$11)</f>
        <v>7.4798</v>
      </c>
      <c r="F214" s="4">
        <f>CHOOSE( CONTROL!$C$32, 8.1819, 8.1802) * CHOOSE(CONTROL!$C$15, $D$11, 100%, $F$11)</f>
        <v>8.1819000000000006</v>
      </c>
      <c r="G214" s="8">
        <f>CHOOSE( CONTROL!$C$32, 7.3974, 7.3957) * CHOOSE( CONTROL!$C$15, $D$11, 100%, $F$11)</f>
        <v>7.3974000000000002</v>
      </c>
      <c r="H214" s="4">
        <f>CHOOSE( CONTROL!$C$32, 8.3327, 8.331) * CHOOSE(CONTROL!$C$15, $D$11, 100%, $F$11)</f>
        <v>8.3327000000000009</v>
      </c>
      <c r="I214" s="8">
        <f>CHOOSE( CONTROL!$C$32, 7.3645, 7.3628) * CHOOSE(CONTROL!$C$15, $D$11, 100%, $F$11)</f>
        <v>7.3644999999999996</v>
      </c>
      <c r="J214" s="4">
        <f>CHOOSE( CONTROL!$C$32, 7.2436, 7.242) * CHOOSE(CONTROL!$C$15, $D$11, 100%, $F$11)</f>
        <v>7.2435999999999998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1.2509999999999999</v>
      </c>
      <c r="Q214" s="9">
        <v>30.322800000000001</v>
      </c>
      <c r="R214" s="9"/>
      <c r="S214" s="11"/>
    </row>
    <row r="215" spans="1:19" ht="15.75">
      <c r="A215" s="13">
        <v>47665</v>
      </c>
      <c r="B215" s="8">
        <f>CHOOSE( CONTROL!$C$32, 7.796, 7.7944) * CHOOSE(CONTROL!$C$15, $D$11, 100%, $F$11)</f>
        <v>7.7960000000000003</v>
      </c>
      <c r="C215" s="8">
        <f>CHOOSE( CONTROL!$C$32, 7.804, 7.8023) * CHOOSE(CONTROL!$C$15, $D$11, 100%, $F$11)</f>
        <v>7.8040000000000003</v>
      </c>
      <c r="D215" s="8">
        <f>CHOOSE( CONTROL!$C$32, 7.8012, 7.7995) * CHOOSE( CONTROL!$C$15, $D$11, 100%, $F$11)</f>
        <v>7.8011999999999997</v>
      </c>
      <c r="E215" s="12">
        <f>CHOOSE( CONTROL!$C$32, 7.801, 7.7993) * CHOOSE( CONTROL!$C$15, $D$11, 100%, $F$11)</f>
        <v>7.8010000000000002</v>
      </c>
      <c r="F215" s="4">
        <f>CHOOSE( CONTROL!$C$32, 8.503, 8.5013) * CHOOSE(CONTROL!$C$15, $D$11, 100%, $F$11)</f>
        <v>8.5030000000000001</v>
      </c>
      <c r="G215" s="8">
        <f>CHOOSE( CONTROL!$C$32, 7.7149, 7.7132) * CHOOSE( CONTROL!$C$15, $D$11, 100%, $F$11)</f>
        <v>7.7149000000000001</v>
      </c>
      <c r="H215" s="4">
        <f>CHOOSE( CONTROL!$C$32, 8.65, 8.6484) * CHOOSE(CONTROL!$C$15, $D$11, 100%, $F$11)</f>
        <v>8.65</v>
      </c>
      <c r="I215" s="8">
        <f>CHOOSE( CONTROL!$C$32, 7.6771, 7.6755) * CHOOSE(CONTROL!$C$15, $D$11, 100%, $F$11)</f>
        <v>7.6771000000000003</v>
      </c>
      <c r="J215" s="4">
        <f>CHOOSE( CONTROL!$C$32, 7.5552, 7.5536) * CHOOSE(CONTROL!$C$15, $D$11, 100%, $F$11)</f>
        <v>7.5552000000000001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1.2927</v>
      </c>
      <c r="Q215" s="9">
        <v>31.333600000000001</v>
      </c>
      <c r="R215" s="9"/>
      <c r="S215" s="11"/>
    </row>
    <row r="216" spans="1:19" ht="15.75">
      <c r="A216" s="13">
        <v>47696</v>
      </c>
      <c r="B216" s="8">
        <f>CHOOSE( CONTROL!$C$32, 7.1952, 7.1935) * CHOOSE(CONTROL!$C$15, $D$11, 100%, $F$11)</f>
        <v>7.1951999999999998</v>
      </c>
      <c r="C216" s="8">
        <f>CHOOSE( CONTROL!$C$32, 7.2032, 7.2015) * CHOOSE(CONTROL!$C$15, $D$11, 100%, $F$11)</f>
        <v>7.2031999999999998</v>
      </c>
      <c r="D216" s="8">
        <f>CHOOSE( CONTROL!$C$32, 7.2005, 7.1988) * CHOOSE( CONTROL!$C$15, $D$11, 100%, $F$11)</f>
        <v>7.2004999999999999</v>
      </c>
      <c r="E216" s="12">
        <f>CHOOSE( CONTROL!$C$32, 7.2003, 7.1986) * CHOOSE( CONTROL!$C$15, $D$11, 100%, $F$11)</f>
        <v>7.2003000000000004</v>
      </c>
      <c r="F216" s="4">
        <f>CHOOSE( CONTROL!$C$32, 7.9021, 7.9005) * CHOOSE(CONTROL!$C$15, $D$11, 100%, $F$11)</f>
        <v>7.9020999999999999</v>
      </c>
      <c r="G216" s="8">
        <f>CHOOSE( CONTROL!$C$32, 7.1212, 7.1196) * CHOOSE( CONTROL!$C$15, $D$11, 100%, $F$11)</f>
        <v>7.1212</v>
      </c>
      <c r="H216" s="4">
        <f>CHOOSE( CONTROL!$C$32, 8.0562, 8.0546) * CHOOSE(CONTROL!$C$15, $D$11, 100%, $F$11)</f>
        <v>8.0562000000000005</v>
      </c>
      <c r="I216" s="8">
        <f>CHOOSE( CONTROL!$C$32, 7.094, 7.0924) * CHOOSE(CONTROL!$C$15, $D$11, 100%, $F$11)</f>
        <v>7.0940000000000003</v>
      </c>
      <c r="J216" s="4">
        <f>CHOOSE( CONTROL!$C$32, 6.9721, 6.9705) * CHOOSE(CONTROL!$C$15, $D$11, 100%, $F$11)</f>
        <v>6.9721000000000002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1.2927</v>
      </c>
      <c r="Q216" s="9">
        <v>31.333600000000001</v>
      </c>
      <c r="R216" s="9"/>
      <c r="S216" s="11"/>
    </row>
    <row r="217" spans="1:19" ht="15.75">
      <c r="A217" s="13">
        <v>47727</v>
      </c>
      <c r="B217" s="8">
        <f>CHOOSE( CONTROL!$C$32, 7.0448, 7.0431) * CHOOSE(CONTROL!$C$15, $D$11, 100%, $F$11)</f>
        <v>7.0448000000000004</v>
      </c>
      <c r="C217" s="8">
        <f>CHOOSE( CONTROL!$C$32, 7.0527, 7.0511) * CHOOSE(CONTROL!$C$15, $D$11, 100%, $F$11)</f>
        <v>7.0526999999999997</v>
      </c>
      <c r="D217" s="8">
        <f>CHOOSE( CONTROL!$C$32, 7.05, 7.0483) * CHOOSE( CONTROL!$C$15, $D$11, 100%, $F$11)</f>
        <v>7.05</v>
      </c>
      <c r="E217" s="12">
        <f>CHOOSE( CONTROL!$C$32, 7.0498, 7.0481) * CHOOSE( CONTROL!$C$15, $D$11, 100%, $F$11)</f>
        <v>7.0498000000000003</v>
      </c>
      <c r="F217" s="4">
        <f>CHOOSE( CONTROL!$C$32, 7.7517, 7.75) * CHOOSE(CONTROL!$C$15, $D$11, 100%, $F$11)</f>
        <v>7.7516999999999996</v>
      </c>
      <c r="G217" s="8">
        <f>CHOOSE( CONTROL!$C$32, 6.9725, 6.9708) * CHOOSE( CONTROL!$C$15, $D$11, 100%, $F$11)</f>
        <v>6.9725000000000001</v>
      </c>
      <c r="H217" s="4">
        <f>CHOOSE( CONTROL!$C$32, 7.9076, 7.9059) * CHOOSE(CONTROL!$C$15, $D$11, 100%, $F$11)</f>
        <v>7.9076000000000004</v>
      </c>
      <c r="I217" s="8">
        <f>CHOOSE( CONTROL!$C$32, 6.9478, 6.9462) * CHOOSE(CONTROL!$C$15, $D$11, 100%, $F$11)</f>
        <v>6.9478</v>
      </c>
      <c r="J217" s="4">
        <f>CHOOSE( CONTROL!$C$32, 6.8261, 6.8245) * CHOOSE(CONTROL!$C$15, $D$11, 100%, $F$11)</f>
        <v>6.8261000000000003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1.2509999999999999</v>
      </c>
      <c r="Q217" s="9">
        <v>30.322800000000001</v>
      </c>
      <c r="R217" s="9"/>
      <c r="S217" s="11"/>
    </row>
    <row r="218" spans="1:19" ht="15.75">
      <c r="A218" s="13">
        <v>47757</v>
      </c>
      <c r="B218" s="8">
        <f>CHOOSE( CONTROL!$C$32, 7.3548, 7.3538) * CHOOSE(CONTROL!$C$15, $D$11, 100%, $F$11)</f>
        <v>7.3548</v>
      </c>
      <c r="C218" s="8">
        <f>CHOOSE( CONTROL!$C$32, 7.3602, 7.3591) * CHOOSE(CONTROL!$C$15, $D$11, 100%, $F$11)</f>
        <v>7.3601999999999999</v>
      </c>
      <c r="D218" s="8">
        <f>CHOOSE( CONTROL!$C$32, 7.3631, 7.362) * CHOOSE( CONTROL!$C$15, $D$11, 100%, $F$11)</f>
        <v>7.3631000000000002</v>
      </c>
      <c r="E218" s="12">
        <f>CHOOSE( CONTROL!$C$32, 7.3616, 7.3605) * CHOOSE( CONTROL!$C$15, $D$11, 100%, $F$11)</f>
        <v>7.3616000000000001</v>
      </c>
      <c r="F218" s="4">
        <f>CHOOSE( CONTROL!$C$32, 8.0635, 8.0624) * CHOOSE(CONTROL!$C$15, $D$11, 100%, $F$11)</f>
        <v>8.0634999999999994</v>
      </c>
      <c r="G218" s="8">
        <f>CHOOSE( CONTROL!$C$32, 7.2808, 7.2797) * CHOOSE( CONTROL!$C$15, $D$11, 100%, $F$11)</f>
        <v>7.2808000000000002</v>
      </c>
      <c r="H218" s="4">
        <f>CHOOSE( CONTROL!$C$32, 8.2157, 8.2146) * CHOOSE(CONTROL!$C$15, $D$11, 100%, $F$11)</f>
        <v>8.2157</v>
      </c>
      <c r="I218" s="8">
        <f>CHOOSE( CONTROL!$C$32, 7.2514, 7.2503) * CHOOSE(CONTROL!$C$15, $D$11, 100%, $F$11)</f>
        <v>7.2514000000000003</v>
      </c>
      <c r="J218" s="4">
        <f>CHOOSE( CONTROL!$C$32, 7.1287, 7.1277) * CHOOSE(CONTROL!$C$15, $D$11, 100%, $F$11)</f>
        <v>7.1287000000000003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1.2927</v>
      </c>
      <c r="Q218" s="9">
        <v>31.333600000000001</v>
      </c>
      <c r="R218" s="9"/>
      <c r="S218" s="11"/>
    </row>
    <row r="219" spans="1:19" ht="15.75">
      <c r="A219" s="13">
        <v>47788</v>
      </c>
      <c r="B219" s="8">
        <f>CHOOSE( CONTROL!$C$32, 7.931, 7.9299) * CHOOSE(CONTROL!$C$15, $D$11, 100%, $F$11)</f>
        <v>7.931</v>
      </c>
      <c r="C219" s="8">
        <f>CHOOSE( CONTROL!$C$32, 7.9361, 7.935) * CHOOSE(CONTROL!$C$15, $D$11, 100%, $F$11)</f>
        <v>7.9360999999999997</v>
      </c>
      <c r="D219" s="8">
        <f>CHOOSE( CONTROL!$C$32, 7.9183, 7.9172) * CHOOSE( CONTROL!$C$15, $D$11, 100%, $F$11)</f>
        <v>7.9183000000000003</v>
      </c>
      <c r="E219" s="12">
        <f>CHOOSE( CONTROL!$C$32, 7.9243, 7.9232) * CHOOSE( CONTROL!$C$15, $D$11, 100%, $F$11)</f>
        <v>7.9242999999999997</v>
      </c>
      <c r="F219" s="4">
        <f>CHOOSE( CONTROL!$C$32, 8.5963, 8.5952) * CHOOSE(CONTROL!$C$15, $D$11, 100%, $F$11)</f>
        <v>8.5962999999999994</v>
      </c>
      <c r="G219" s="8">
        <f>CHOOSE( CONTROL!$C$32, 7.8497, 7.8487) * CHOOSE( CONTROL!$C$15, $D$11, 100%, $F$11)</f>
        <v>7.8497000000000003</v>
      </c>
      <c r="H219" s="4">
        <f>CHOOSE( CONTROL!$C$32, 8.7423, 8.7412) * CHOOSE(CONTROL!$C$15, $D$11, 100%, $F$11)</f>
        <v>8.7423000000000002</v>
      </c>
      <c r="I219" s="8">
        <f>CHOOSE( CONTROL!$C$32, 7.873, 7.8719) * CHOOSE(CONTROL!$C$15, $D$11, 100%, $F$11)</f>
        <v>7.8730000000000002</v>
      </c>
      <c r="J219" s="4">
        <f>CHOOSE( CONTROL!$C$32, 7.6883, 7.6873) * CHOOSE(CONTROL!$C$15, $D$11, 100%, $F$11)</f>
        <v>7.6882999999999999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30.322800000000001</v>
      </c>
      <c r="R219" s="9"/>
      <c r="S219" s="11"/>
    </row>
    <row r="220" spans="1:19" ht="15.75">
      <c r="A220" s="13">
        <v>47818</v>
      </c>
      <c r="B220" s="8">
        <f>CHOOSE( CONTROL!$C$32, 7.9166, 7.9155) * CHOOSE(CONTROL!$C$15, $D$11, 100%, $F$11)</f>
        <v>7.9165999999999999</v>
      </c>
      <c r="C220" s="8">
        <f>CHOOSE( CONTROL!$C$32, 7.9217, 7.9206) * CHOOSE(CONTROL!$C$15, $D$11, 100%, $F$11)</f>
        <v>7.9217000000000004</v>
      </c>
      <c r="D220" s="8">
        <f>CHOOSE( CONTROL!$C$32, 7.9053, 7.9042) * CHOOSE( CONTROL!$C$15, $D$11, 100%, $F$11)</f>
        <v>7.9053000000000004</v>
      </c>
      <c r="E220" s="12">
        <f>CHOOSE( CONTROL!$C$32, 7.9108, 7.9097) * CHOOSE( CONTROL!$C$15, $D$11, 100%, $F$11)</f>
        <v>7.9108000000000001</v>
      </c>
      <c r="F220" s="4">
        <f>CHOOSE( CONTROL!$C$32, 8.5819, 8.5808) * CHOOSE(CONTROL!$C$15, $D$11, 100%, $F$11)</f>
        <v>8.5818999999999992</v>
      </c>
      <c r="G220" s="8">
        <f>CHOOSE( CONTROL!$C$32, 7.8365, 7.8355) * CHOOSE( CONTROL!$C$15, $D$11, 100%, $F$11)</f>
        <v>7.8365</v>
      </c>
      <c r="H220" s="4">
        <f>CHOOSE( CONTROL!$C$32, 8.728, 8.727) * CHOOSE(CONTROL!$C$15, $D$11, 100%, $F$11)</f>
        <v>8.7279999999999998</v>
      </c>
      <c r="I220" s="8">
        <f>CHOOSE( CONTROL!$C$32, 7.8635, 7.8624) * CHOOSE(CONTROL!$C$15, $D$11, 100%, $F$11)</f>
        <v>7.8635000000000002</v>
      </c>
      <c r="J220" s="4">
        <f>CHOOSE( CONTROL!$C$32, 7.6743, 7.6733) * CHOOSE(CONTROL!$C$15, $D$11, 100%, $F$11)</f>
        <v>7.6742999999999997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31.333600000000001</v>
      </c>
      <c r="R220" s="9"/>
      <c r="S220" s="11"/>
    </row>
    <row r="221" spans="1:19" ht="15.75">
      <c r="A221" s="13">
        <v>47849</v>
      </c>
      <c r="B221" s="8">
        <f>CHOOSE( CONTROL!$C$32, 8.1984, 8.1973) * CHOOSE(CONTROL!$C$15, $D$11, 100%, $F$11)</f>
        <v>8.1983999999999995</v>
      </c>
      <c r="C221" s="8">
        <f>CHOOSE( CONTROL!$C$32, 8.2035, 8.2024) * CHOOSE(CONTROL!$C$15, $D$11, 100%, $F$11)</f>
        <v>8.2035</v>
      </c>
      <c r="D221" s="8">
        <f>CHOOSE( CONTROL!$C$32, 8.1822, 8.1811) * CHOOSE( CONTROL!$C$15, $D$11, 100%, $F$11)</f>
        <v>8.1821999999999999</v>
      </c>
      <c r="E221" s="12">
        <f>CHOOSE( CONTROL!$C$32, 8.1894, 8.1883) * CHOOSE( CONTROL!$C$15, $D$11, 100%, $F$11)</f>
        <v>8.1893999999999991</v>
      </c>
      <c r="F221" s="4">
        <f>CHOOSE( CONTROL!$C$32, 8.8637, 8.8626) * CHOOSE(CONTROL!$C$15, $D$11, 100%, $F$11)</f>
        <v>8.8636999999999997</v>
      </c>
      <c r="G221" s="8">
        <f>CHOOSE( CONTROL!$C$32, 8.1045, 8.1034) * CHOOSE( CONTROL!$C$15, $D$11, 100%, $F$11)</f>
        <v>8.1044999999999998</v>
      </c>
      <c r="H221" s="4">
        <f>CHOOSE( CONTROL!$C$32, 9.0065, 9.0055) * CHOOSE(CONTROL!$C$15, $D$11, 100%, $F$11)</f>
        <v>9.0065000000000008</v>
      </c>
      <c r="I221" s="8">
        <f>CHOOSE( CONTROL!$C$32, 8.0991, 8.0981) * CHOOSE(CONTROL!$C$15, $D$11, 100%, $F$11)</f>
        <v>8.0991</v>
      </c>
      <c r="J221" s="4">
        <f>CHOOSE( CONTROL!$C$32, 7.9478, 7.9467) * CHOOSE(CONTROL!$C$15, $D$11, 100%, $F$11)</f>
        <v>7.9478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31.026700000000002</v>
      </c>
      <c r="R221" s="9"/>
      <c r="S221" s="11"/>
    </row>
    <row r="222" spans="1:19" ht="15.75">
      <c r="A222" s="13">
        <v>47880</v>
      </c>
      <c r="B222" s="8">
        <f>CHOOSE( CONTROL!$C$32, 7.669, 7.668) * CHOOSE(CONTROL!$C$15, $D$11, 100%, $F$11)</f>
        <v>7.6689999999999996</v>
      </c>
      <c r="C222" s="8">
        <f>CHOOSE( CONTROL!$C$32, 7.6741, 7.673) * CHOOSE(CONTROL!$C$15, $D$11, 100%, $F$11)</f>
        <v>7.6741000000000001</v>
      </c>
      <c r="D222" s="8">
        <f>CHOOSE( CONTROL!$C$32, 7.6527, 7.6516) * CHOOSE( CONTROL!$C$15, $D$11, 100%, $F$11)</f>
        <v>7.6527000000000003</v>
      </c>
      <c r="E222" s="12">
        <f>CHOOSE( CONTROL!$C$32, 7.66, 7.6589) * CHOOSE( CONTROL!$C$15, $D$11, 100%, $F$11)</f>
        <v>7.66</v>
      </c>
      <c r="F222" s="4">
        <f>CHOOSE( CONTROL!$C$32, 8.3343, 8.3332) * CHOOSE(CONTROL!$C$15, $D$11, 100%, $F$11)</f>
        <v>8.3343000000000007</v>
      </c>
      <c r="G222" s="8">
        <f>CHOOSE( CONTROL!$C$32, 7.5813, 7.5802) * CHOOSE( CONTROL!$C$15, $D$11, 100%, $F$11)</f>
        <v>7.5812999999999997</v>
      </c>
      <c r="H222" s="4">
        <f>CHOOSE( CONTROL!$C$32, 8.4834, 8.4823) * CHOOSE(CONTROL!$C$15, $D$11, 100%, $F$11)</f>
        <v>8.4833999999999996</v>
      </c>
      <c r="I222" s="8">
        <f>CHOOSE( CONTROL!$C$32, 7.5847, 7.5837) * CHOOSE(CONTROL!$C$15, $D$11, 100%, $F$11)</f>
        <v>7.5846999999999998</v>
      </c>
      <c r="J222" s="4">
        <f>CHOOSE( CONTROL!$C$32, 7.4341, 7.433) * CHOOSE(CONTROL!$C$15, $D$11, 100%, $F$11)</f>
        <v>7.4340999999999999</v>
      </c>
      <c r="K222" s="4"/>
      <c r="L222" s="9">
        <v>26.469899999999999</v>
      </c>
      <c r="M222" s="9">
        <v>10.8962</v>
      </c>
      <c r="N222" s="9">
        <v>4.4660000000000002</v>
      </c>
      <c r="O222" s="9">
        <v>0.33789999999999998</v>
      </c>
      <c r="P222" s="9">
        <v>1.1676</v>
      </c>
      <c r="Q222" s="9">
        <v>28.024100000000001</v>
      </c>
      <c r="R222" s="9"/>
      <c r="S222" s="11"/>
    </row>
    <row r="223" spans="1:19" ht="15.75">
      <c r="A223" s="13">
        <v>47908</v>
      </c>
      <c r="B223" s="8">
        <f>CHOOSE( CONTROL!$C$32, 7.506, 7.5049) * CHOOSE(CONTROL!$C$15, $D$11, 100%, $F$11)</f>
        <v>7.5060000000000002</v>
      </c>
      <c r="C223" s="8">
        <f>CHOOSE( CONTROL!$C$32, 7.5111, 7.51) * CHOOSE(CONTROL!$C$15, $D$11, 100%, $F$11)</f>
        <v>7.5110999999999999</v>
      </c>
      <c r="D223" s="8">
        <f>CHOOSE( CONTROL!$C$32, 7.489, 7.4879) * CHOOSE( CONTROL!$C$15, $D$11, 100%, $F$11)</f>
        <v>7.4889999999999999</v>
      </c>
      <c r="E223" s="12">
        <f>CHOOSE( CONTROL!$C$32, 7.4965, 7.4954) * CHOOSE( CONTROL!$C$15, $D$11, 100%, $F$11)</f>
        <v>7.4965000000000002</v>
      </c>
      <c r="F223" s="4">
        <f>CHOOSE( CONTROL!$C$32, 8.1713, 8.1702) * CHOOSE(CONTROL!$C$15, $D$11, 100%, $F$11)</f>
        <v>8.1713000000000005</v>
      </c>
      <c r="G223" s="8">
        <f>CHOOSE( CONTROL!$C$32, 7.4197, 7.4186) * CHOOSE( CONTROL!$C$15, $D$11, 100%, $F$11)</f>
        <v>7.4196999999999997</v>
      </c>
      <c r="H223" s="4">
        <f>CHOOSE( CONTROL!$C$32, 8.3222, 8.3212) * CHOOSE(CONTROL!$C$15, $D$11, 100%, $F$11)</f>
        <v>8.3222000000000005</v>
      </c>
      <c r="I223" s="8">
        <f>CHOOSE( CONTROL!$C$32, 7.4244, 7.4234) * CHOOSE(CONTROL!$C$15, $D$11, 100%, $F$11)</f>
        <v>7.4244000000000003</v>
      </c>
      <c r="J223" s="4">
        <f>CHOOSE( CONTROL!$C$32, 7.2758, 7.2748) * CHOOSE(CONTROL!$C$15, $D$11, 100%, $F$11)</f>
        <v>7.2758000000000003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31.026700000000002</v>
      </c>
      <c r="R223" s="9"/>
      <c r="S223" s="11"/>
    </row>
    <row r="224" spans="1:19" ht="15.75">
      <c r="A224" s="13">
        <v>47939</v>
      </c>
      <c r="B224" s="8">
        <f>CHOOSE( CONTROL!$C$32, 7.6207, 7.6196) * CHOOSE(CONTROL!$C$15, $D$11, 100%, $F$11)</f>
        <v>7.6207000000000003</v>
      </c>
      <c r="C224" s="8">
        <f>CHOOSE( CONTROL!$C$32, 7.6252, 7.6241) * CHOOSE(CONTROL!$C$15, $D$11, 100%, $F$11)</f>
        <v>7.6252000000000004</v>
      </c>
      <c r="D224" s="8">
        <f>CHOOSE( CONTROL!$C$32, 7.6281, 7.627) * CHOOSE( CONTROL!$C$15, $D$11, 100%, $F$11)</f>
        <v>7.6280999999999999</v>
      </c>
      <c r="E224" s="12">
        <f>CHOOSE( CONTROL!$C$32, 7.6266, 7.6255) * CHOOSE( CONTROL!$C$15, $D$11, 100%, $F$11)</f>
        <v>7.6265999999999998</v>
      </c>
      <c r="F224" s="4">
        <f>CHOOSE( CONTROL!$C$32, 8.329, 8.3279) * CHOOSE(CONTROL!$C$15, $D$11, 100%, $F$11)</f>
        <v>8.3290000000000006</v>
      </c>
      <c r="G224" s="8">
        <f>CHOOSE( CONTROL!$C$32, 7.5427, 7.5417) * CHOOSE( CONTROL!$C$15, $D$11, 100%, $F$11)</f>
        <v>7.5427</v>
      </c>
      <c r="H224" s="4">
        <f>CHOOSE( CONTROL!$C$32, 8.4781, 8.477) * CHOOSE(CONTROL!$C$15, $D$11, 100%, $F$11)</f>
        <v>8.4780999999999995</v>
      </c>
      <c r="I224" s="8">
        <f>CHOOSE( CONTROL!$C$32, 7.5073, 7.5062) * CHOOSE(CONTROL!$C$15, $D$11, 100%, $F$11)</f>
        <v>7.5072999999999999</v>
      </c>
      <c r="J224" s="4">
        <f>CHOOSE( CONTROL!$C$32, 7.3864, 7.3853) * CHOOSE(CONTROL!$C$15, $D$11, 100%, $F$11)</f>
        <v>7.3864000000000001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1.2509999999999999</v>
      </c>
      <c r="Q224" s="9">
        <v>30.0258</v>
      </c>
      <c r="R224" s="9"/>
      <c r="S224" s="11"/>
    </row>
    <row r="225" spans="1:19" ht="15.75">
      <c r="A225" s="13">
        <v>47969</v>
      </c>
      <c r="B225" s="8">
        <f>CHOOSE( CONTROL!$C$32, 7.8254, 7.8237) * CHOOSE(CONTROL!$C$15, $D$11, 100%, $F$11)</f>
        <v>7.8254000000000001</v>
      </c>
      <c r="C225" s="8">
        <f>CHOOSE( CONTROL!$C$32, 7.8334, 7.8317) * CHOOSE(CONTROL!$C$15, $D$11, 100%, $F$11)</f>
        <v>7.8334000000000001</v>
      </c>
      <c r="D225" s="8">
        <f>CHOOSE( CONTROL!$C$32, 7.8301, 7.8285) * CHOOSE( CONTROL!$C$15, $D$11, 100%, $F$11)</f>
        <v>7.8300999999999998</v>
      </c>
      <c r="E225" s="12">
        <f>CHOOSE( CONTROL!$C$32, 7.8301, 7.8284) * CHOOSE( CONTROL!$C$15, $D$11, 100%, $F$11)</f>
        <v>7.8300999999999998</v>
      </c>
      <c r="F225" s="4">
        <f>CHOOSE( CONTROL!$C$32, 8.5323, 8.5307) * CHOOSE(CONTROL!$C$15, $D$11, 100%, $F$11)</f>
        <v>8.5322999999999993</v>
      </c>
      <c r="G225" s="8">
        <f>CHOOSE( CONTROL!$C$32, 7.7436, 7.7419) * CHOOSE( CONTROL!$C$15, $D$11, 100%, $F$11)</f>
        <v>7.7435999999999998</v>
      </c>
      <c r="H225" s="4">
        <f>CHOOSE( CONTROL!$C$32, 8.6791, 8.6774) * CHOOSE(CONTROL!$C$15, $D$11, 100%, $F$11)</f>
        <v>8.6791</v>
      </c>
      <c r="I225" s="8">
        <f>CHOOSE( CONTROL!$C$32, 7.704, 7.7024) * CHOOSE(CONTROL!$C$15, $D$11, 100%, $F$11)</f>
        <v>7.7039999999999997</v>
      </c>
      <c r="J225" s="4">
        <f>CHOOSE( CONTROL!$C$32, 7.5837, 7.5821) * CHOOSE(CONTROL!$C$15, $D$11, 100%, $F$11)</f>
        <v>7.5837000000000003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1.2927</v>
      </c>
      <c r="Q225" s="9">
        <v>31.026700000000002</v>
      </c>
      <c r="R225" s="9"/>
      <c r="S225" s="11"/>
    </row>
    <row r="226" spans="1:19" ht="15.75">
      <c r="A226" s="13">
        <v>48000</v>
      </c>
      <c r="B226" s="8">
        <f>CHOOSE( CONTROL!$C$32, 7.6998, 7.6981) * CHOOSE(CONTROL!$C$15, $D$11, 100%, $F$11)</f>
        <v>7.6997999999999998</v>
      </c>
      <c r="C226" s="8">
        <f>CHOOSE( CONTROL!$C$32, 7.7078, 7.7061) * CHOOSE(CONTROL!$C$15, $D$11, 100%, $F$11)</f>
        <v>7.7077999999999998</v>
      </c>
      <c r="D226" s="8">
        <f>CHOOSE( CONTROL!$C$32, 7.7047, 7.7031) * CHOOSE( CONTROL!$C$15, $D$11, 100%, $F$11)</f>
        <v>7.7046999999999999</v>
      </c>
      <c r="E226" s="12">
        <f>CHOOSE( CONTROL!$C$32, 7.7046, 7.703) * CHOOSE( CONTROL!$C$15, $D$11, 100%, $F$11)</f>
        <v>7.7046000000000001</v>
      </c>
      <c r="F226" s="4">
        <f>CHOOSE( CONTROL!$C$32, 8.4067, 8.4051) * CHOOSE(CONTROL!$C$15, $D$11, 100%, $F$11)</f>
        <v>8.4067000000000007</v>
      </c>
      <c r="G226" s="8">
        <f>CHOOSE( CONTROL!$C$32, 7.6196, 7.618) * CHOOSE( CONTROL!$C$15, $D$11, 100%, $F$11)</f>
        <v>7.6196000000000002</v>
      </c>
      <c r="H226" s="4">
        <f>CHOOSE( CONTROL!$C$32, 8.5549, 8.5533) * CHOOSE(CONTROL!$C$15, $D$11, 100%, $F$11)</f>
        <v>8.5548999999999999</v>
      </c>
      <c r="I226" s="8">
        <f>CHOOSE( CONTROL!$C$32, 7.5828, 7.5812) * CHOOSE(CONTROL!$C$15, $D$11, 100%, $F$11)</f>
        <v>7.5827999999999998</v>
      </c>
      <c r="J226" s="4">
        <f>CHOOSE( CONTROL!$C$32, 7.4618, 7.4602) * CHOOSE(CONTROL!$C$15, $D$11, 100%, $F$11)</f>
        <v>7.4618000000000002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1.2509999999999999</v>
      </c>
      <c r="Q226" s="9">
        <v>30.0258</v>
      </c>
      <c r="R226" s="9"/>
      <c r="S226" s="11"/>
    </row>
    <row r="227" spans="1:19" ht="15.75">
      <c r="A227" s="13">
        <v>48030</v>
      </c>
      <c r="B227" s="8">
        <f>CHOOSE( CONTROL!$C$32, 8.0306, 8.0289) * CHOOSE(CONTROL!$C$15, $D$11, 100%, $F$11)</f>
        <v>8.0305999999999997</v>
      </c>
      <c r="C227" s="8">
        <f>CHOOSE( CONTROL!$C$32, 8.0385, 8.0369) * CHOOSE(CONTROL!$C$15, $D$11, 100%, $F$11)</f>
        <v>8.0385000000000009</v>
      </c>
      <c r="D227" s="8">
        <f>CHOOSE( CONTROL!$C$32, 8.0358, 8.0341) * CHOOSE( CONTROL!$C$15, $D$11, 100%, $F$11)</f>
        <v>8.0358000000000001</v>
      </c>
      <c r="E227" s="12">
        <f>CHOOSE( CONTROL!$C$32, 8.0356, 8.0339) * CHOOSE( CONTROL!$C$15, $D$11, 100%, $F$11)</f>
        <v>8.0356000000000005</v>
      </c>
      <c r="F227" s="4">
        <f>CHOOSE( CONTROL!$C$32, 8.7375, 8.7359) * CHOOSE(CONTROL!$C$15, $D$11, 100%, $F$11)</f>
        <v>8.7375000000000007</v>
      </c>
      <c r="G227" s="8">
        <f>CHOOSE( CONTROL!$C$32, 7.9467, 7.9451) * CHOOSE( CONTROL!$C$15, $D$11, 100%, $F$11)</f>
        <v>7.9466999999999999</v>
      </c>
      <c r="H227" s="4">
        <f>CHOOSE( CONTROL!$C$32, 8.8818, 8.8802) * CHOOSE(CONTROL!$C$15, $D$11, 100%, $F$11)</f>
        <v>8.8818000000000001</v>
      </c>
      <c r="I227" s="8">
        <f>CHOOSE( CONTROL!$C$32, 7.9048, 7.9032) * CHOOSE(CONTROL!$C$15, $D$11, 100%, $F$11)</f>
        <v>7.9047999999999998</v>
      </c>
      <c r="J227" s="4">
        <f>CHOOSE( CONTROL!$C$32, 7.7828, 7.7812) * CHOOSE(CONTROL!$C$15, $D$11, 100%, $F$11)</f>
        <v>7.7827999999999999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1.2927</v>
      </c>
      <c r="Q227" s="9">
        <v>31.026700000000002</v>
      </c>
      <c r="R227" s="9"/>
      <c r="S227" s="11"/>
    </row>
    <row r="228" spans="1:19" ht="15.75">
      <c r="A228" s="13">
        <v>48061</v>
      </c>
      <c r="B228" s="8">
        <f>CHOOSE( CONTROL!$C$32, 7.4117, 7.41) * CHOOSE(CONTROL!$C$15, $D$11, 100%, $F$11)</f>
        <v>7.4116999999999997</v>
      </c>
      <c r="C228" s="8">
        <f>CHOOSE( CONTROL!$C$32, 7.4196, 7.418) * CHOOSE(CONTROL!$C$15, $D$11, 100%, $F$11)</f>
        <v>7.4196</v>
      </c>
      <c r="D228" s="8">
        <f>CHOOSE( CONTROL!$C$32, 7.4169, 7.4153) * CHOOSE( CONTROL!$C$15, $D$11, 100%, $F$11)</f>
        <v>7.4169</v>
      </c>
      <c r="E228" s="12">
        <f>CHOOSE( CONTROL!$C$32, 7.4167, 7.4151) * CHOOSE( CONTROL!$C$15, $D$11, 100%, $F$11)</f>
        <v>7.4166999999999996</v>
      </c>
      <c r="F228" s="4">
        <f>CHOOSE( CONTROL!$C$32, 8.1186, 8.1169) * CHOOSE(CONTROL!$C$15, $D$11, 100%, $F$11)</f>
        <v>8.1186000000000007</v>
      </c>
      <c r="G228" s="8">
        <f>CHOOSE( CONTROL!$C$32, 7.3351, 7.3335) * CHOOSE( CONTROL!$C$15, $D$11, 100%, $F$11)</f>
        <v>7.3350999999999997</v>
      </c>
      <c r="H228" s="4">
        <f>CHOOSE( CONTROL!$C$32, 8.2702, 8.2685) * CHOOSE(CONTROL!$C$15, $D$11, 100%, $F$11)</f>
        <v>8.2702000000000009</v>
      </c>
      <c r="I228" s="8">
        <f>CHOOSE( CONTROL!$C$32, 7.3042, 7.3026) * CHOOSE(CONTROL!$C$15, $D$11, 100%, $F$11)</f>
        <v>7.3041999999999998</v>
      </c>
      <c r="J228" s="4">
        <f>CHOOSE( CONTROL!$C$32, 7.1822, 7.1806) * CHOOSE(CONTROL!$C$15, $D$11, 100%, $F$11)</f>
        <v>7.1821999999999999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1.2927</v>
      </c>
      <c r="Q228" s="9">
        <v>31.026700000000002</v>
      </c>
      <c r="R228" s="9"/>
      <c r="S228" s="11"/>
    </row>
    <row r="229" spans="1:19" ht="15.75">
      <c r="A229" s="13">
        <v>48092</v>
      </c>
      <c r="B229" s="8">
        <f>CHOOSE( CONTROL!$C$32, 7.2567, 7.255) * CHOOSE(CONTROL!$C$15, $D$11, 100%, $F$11)</f>
        <v>7.2567000000000004</v>
      </c>
      <c r="C229" s="8">
        <f>CHOOSE( CONTROL!$C$32, 7.2646, 7.263) * CHOOSE(CONTROL!$C$15, $D$11, 100%, $F$11)</f>
        <v>7.2645999999999997</v>
      </c>
      <c r="D229" s="8">
        <f>CHOOSE( CONTROL!$C$32, 7.2619, 7.2602) * CHOOSE( CONTROL!$C$15, $D$11, 100%, $F$11)</f>
        <v>7.2618999999999998</v>
      </c>
      <c r="E229" s="12">
        <f>CHOOSE( CONTROL!$C$32, 7.2617, 7.26) * CHOOSE( CONTROL!$C$15, $D$11, 100%, $F$11)</f>
        <v>7.2617000000000003</v>
      </c>
      <c r="F229" s="4">
        <f>CHOOSE( CONTROL!$C$32, 7.9636, 7.962) * CHOOSE(CONTROL!$C$15, $D$11, 100%, $F$11)</f>
        <v>7.9635999999999996</v>
      </c>
      <c r="G229" s="8">
        <f>CHOOSE( CONTROL!$C$32, 7.1819, 7.1803) * CHOOSE( CONTROL!$C$15, $D$11, 100%, $F$11)</f>
        <v>7.1818999999999997</v>
      </c>
      <c r="H229" s="4">
        <f>CHOOSE( CONTROL!$C$32, 8.117, 8.1154) * CHOOSE(CONTROL!$C$15, $D$11, 100%, $F$11)</f>
        <v>8.1170000000000009</v>
      </c>
      <c r="I229" s="8">
        <f>CHOOSE( CONTROL!$C$32, 7.1536, 7.152) * CHOOSE(CONTROL!$C$15, $D$11, 100%, $F$11)</f>
        <v>7.1536</v>
      </c>
      <c r="J229" s="4">
        <f>CHOOSE( CONTROL!$C$32, 7.0318, 7.0302) * CHOOSE(CONTROL!$C$15, $D$11, 100%, $F$11)</f>
        <v>7.0317999999999996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1.2509999999999999</v>
      </c>
      <c r="Q229" s="9">
        <v>30.0258</v>
      </c>
      <c r="R229" s="9"/>
      <c r="S229" s="11"/>
    </row>
    <row r="230" spans="1:19" ht="15.75">
      <c r="A230" s="13">
        <v>48122</v>
      </c>
      <c r="B230" s="8">
        <f>CHOOSE( CONTROL!$C$32, 7.5762, 7.5751) * CHOOSE(CONTROL!$C$15, $D$11, 100%, $F$11)</f>
        <v>7.5762</v>
      </c>
      <c r="C230" s="8">
        <f>CHOOSE( CONTROL!$C$32, 7.5815, 7.5804) * CHOOSE(CONTROL!$C$15, $D$11, 100%, $F$11)</f>
        <v>7.5815000000000001</v>
      </c>
      <c r="D230" s="8">
        <f>CHOOSE( CONTROL!$C$32, 7.5844, 7.5833) * CHOOSE( CONTROL!$C$15, $D$11, 100%, $F$11)</f>
        <v>7.5843999999999996</v>
      </c>
      <c r="E230" s="12">
        <f>CHOOSE( CONTROL!$C$32, 7.5829, 7.5818) * CHOOSE( CONTROL!$C$15, $D$11, 100%, $F$11)</f>
        <v>7.5829000000000004</v>
      </c>
      <c r="F230" s="4">
        <f>CHOOSE( CONTROL!$C$32, 8.2848, 8.2838) * CHOOSE(CONTROL!$C$15, $D$11, 100%, $F$11)</f>
        <v>8.2848000000000006</v>
      </c>
      <c r="G230" s="8">
        <f>CHOOSE( CONTROL!$C$32, 7.4995, 7.4985) * CHOOSE( CONTROL!$C$15, $D$11, 100%, $F$11)</f>
        <v>7.4995000000000003</v>
      </c>
      <c r="H230" s="4">
        <f>CHOOSE( CONTROL!$C$32, 8.4345, 8.4334) * CHOOSE(CONTROL!$C$15, $D$11, 100%, $F$11)</f>
        <v>8.4344999999999999</v>
      </c>
      <c r="I230" s="8">
        <f>CHOOSE( CONTROL!$C$32, 7.4663, 7.4652) * CHOOSE(CONTROL!$C$15, $D$11, 100%, $F$11)</f>
        <v>7.4663000000000004</v>
      </c>
      <c r="J230" s="4">
        <f>CHOOSE( CONTROL!$C$32, 7.3435, 7.3425) * CHOOSE(CONTROL!$C$15, $D$11, 100%, $F$11)</f>
        <v>7.3434999999999997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1.2927</v>
      </c>
      <c r="Q230" s="9">
        <v>31.026700000000002</v>
      </c>
      <c r="R230" s="9"/>
      <c r="S230" s="11"/>
    </row>
    <row r="231" spans="1:19" ht="15.75">
      <c r="A231" s="13">
        <v>48153</v>
      </c>
      <c r="B231" s="8">
        <f>CHOOSE( CONTROL!$C$32, 8.1697, 8.1687) * CHOOSE(CONTROL!$C$15, $D$11, 100%, $F$11)</f>
        <v>8.1697000000000006</v>
      </c>
      <c r="C231" s="8">
        <f>CHOOSE( CONTROL!$C$32, 8.1748, 8.1737) * CHOOSE(CONTROL!$C$15, $D$11, 100%, $F$11)</f>
        <v>8.1747999999999994</v>
      </c>
      <c r="D231" s="8">
        <f>CHOOSE( CONTROL!$C$32, 8.157, 8.1559) * CHOOSE( CONTROL!$C$15, $D$11, 100%, $F$11)</f>
        <v>8.157</v>
      </c>
      <c r="E231" s="12">
        <f>CHOOSE( CONTROL!$C$32, 8.163, 8.1619) * CHOOSE( CONTROL!$C$15, $D$11, 100%, $F$11)</f>
        <v>8.1630000000000003</v>
      </c>
      <c r="F231" s="4">
        <f>CHOOSE( CONTROL!$C$32, 8.835, 8.8339) * CHOOSE(CONTROL!$C$15, $D$11, 100%, $F$11)</f>
        <v>8.8350000000000009</v>
      </c>
      <c r="G231" s="8">
        <f>CHOOSE( CONTROL!$C$32, 8.0856, 8.0846) * CHOOSE( CONTROL!$C$15, $D$11, 100%, $F$11)</f>
        <v>8.0855999999999995</v>
      </c>
      <c r="H231" s="4">
        <f>CHOOSE( CONTROL!$C$32, 8.9782, 8.9771) * CHOOSE(CONTROL!$C$15, $D$11, 100%, $F$11)</f>
        <v>8.9781999999999993</v>
      </c>
      <c r="I231" s="8">
        <f>CHOOSE( CONTROL!$C$32, 8.1048, 8.1037) * CHOOSE(CONTROL!$C$15, $D$11, 100%, $F$11)</f>
        <v>8.1047999999999991</v>
      </c>
      <c r="J231" s="4">
        <f>CHOOSE( CONTROL!$C$32, 7.92, 7.9189) * CHOOSE(CONTROL!$C$15, $D$11, 100%, $F$11)</f>
        <v>7.92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30.0258</v>
      </c>
      <c r="R231" s="9"/>
      <c r="S231" s="11"/>
    </row>
    <row r="232" spans="1:19" ht="15.75">
      <c r="A232" s="13">
        <v>48183</v>
      </c>
      <c r="B232" s="8">
        <f>CHOOSE( CONTROL!$C$32, 8.1549, 8.1538) * CHOOSE(CONTROL!$C$15, $D$11, 100%, $F$11)</f>
        <v>8.1548999999999996</v>
      </c>
      <c r="C232" s="8">
        <f>CHOOSE( CONTROL!$C$32, 8.16, 8.1589) * CHOOSE(CONTROL!$C$15, $D$11, 100%, $F$11)</f>
        <v>8.16</v>
      </c>
      <c r="D232" s="8">
        <f>CHOOSE( CONTROL!$C$32, 8.1436, 8.1425) * CHOOSE( CONTROL!$C$15, $D$11, 100%, $F$11)</f>
        <v>8.1435999999999993</v>
      </c>
      <c r="E232" s="12">
        <f>CHOOSE( CONTROL!$C$32, 8.1491, 8.148) * CHOOSE( CONTROL!$C$15, $D$11, 100%, $F$11)</f>
        <v>8.1491000000000007</v>
      </c>
      <c r="F232" s="4">
        <f>CHOOSE( CONTROL!$C$32, 8.8202, 8.8191) * CHOOSE(CONTROL!$C$15, $D$11, 100%, $F$11)</f>
        <v>8.8201999999999998</v>
      </c>
      <c r="G232" s="8">
        <f>CHOOSE( CONTROL!$C$32, 8.072, 8.0709) * CHOOSE( CONTROL!$C$15, $D$11, 100%, $F$11)</f>
        <v>8.0719999999999992</v>
      </c>
      <c r="H232" s="4">
        <f>CHOOSE( CONTROL!$C$32, 8.9635, 8.9625) * CHOOSE(CONTROL!$C$15, $D$11, 100%, $F$11)</f>
        <v>8.9634999999999998</v>
      </c>
      <c r="I232" s="8">
        <f>CHOOSE( CONTROL!$C$32, 8.0948, 8.0938) * CHOOSE(CONTROL!$C$15, $D$11, 100%, $F$11)</f>
        <v>8.0947999999999993</v>
      </c>
      <c r="J232" s="4">
        <f>CHOOSE( CONTROL!$C$32, 7.9056, 7.9045) * CHOOSE(CONTROL!$C$15, $D$11, 100%, $F$11)</f>
        <v>7.9055999999999997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31.026700000000002</v>
      </c>
      <c r="R232" s="9"/>
      <c r="S232" s="11"/>
    </row>
    <row r="233" spans="1:19" ht="15.75">
      <c r="A233" s="13">
        <v>48214</v>
      </c>
      <c r="B233" s="8">
        <f>CHOOSE( CONTROL!$C$32, 8.438, 8.4369) * CHOOSE(CONTROL!$C$15, $D$11, 100%, $F$11)</f>
        <v>8.4380000000000006</v>
      </c>
      <c r="C233" s="8">
        <f>CHOOSE( CONTROL!$C$32, 8.443, 8.4419) * CHOOSE(CONTROL!$C$15, $D$11, 100%, $F$11)</f>
        <v>8.4429999999999996</v>
      </c>
      <c r="D233" s="8">
        <f>CHOOSE( CONTROL!$C$32, 8.4217, 8.4207) * CHOOSE( CONTROL!$C$15, $D$11, 100%, $F$11)</f>
        <v>8.4216999999999995</v>
      </c>
      <c r="E233" s="12">
        <f>CHOOSE( CONTROL!$C$32, 8.429, 8.4279) * CHOOSE( CONTROL!$C$15, $D$11, 100%, $F$11)</f>
        <v>8.4290000000000003</v>
      </c>
      <c r="F233" s="4">
        <f>CHOOSE( CONTROL!$C$32, 9.1032, 9.1022) * CHOOSE(CONTROL!$C$15, $D$11, 100%, $F$11)</f>
        <v>9.1031999999999993</v>
      </c>
      <c r="G233" s="8">
        <f>CHOOSE( CONTROL!$C$32, 8.3413, 8.3402) * CHOOSE( CONTROL!$C$15, $D$11, 100%, $F$11)</f>
        <v>8.3413000000000004</v>
      </c>
      <c r="H233" s="4">
        <f>CHOOSE( CONTROL!$C$32, 9.2433, 9.2422) * CHOOSE(CONTROL!$C$15, $D$11, 100%, $F$11)</f>
        <v>9.2432999999999996</v>
      </c>
      <c r="I233" s="8">
        <f>CHOOSE( CONTROL!$C$32, 8.3317, 8.3307) * CHOOSE(CONTROL!$C$15, $D$11, 100%, $F$11)</f>
        <v>8.3316999999999997</v>
      </c>
      <c r="J233" s="4">
        <f>CHOOSE( CONTROL!$C$32, 8.1803, 8.1792) * CHOOSE(CONTROL!$C$15, $D$11, 100%, $F$11)</f>
        <v>8.1803000000000008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30.8704</v>
      </c>
      <c r="R233" s="9"/>
      <c r="S233" s="11"/>
    </row>
    <row r="234" spans="1:19" ht="15.75">
      <c r="A234" s="13">
        <v>48245</v>
      </c>
      <c r="B234" s="8">
        <f>CHOOSE( CONTROL!$C$32, 7.8931, 7.892) * CHOOSE(CONTROL!$C$15, $D$11, 100%, $F$11)</f>
        <v>7.8930999999999996</v>
      </c>
      <c r="C234" s="8">
        <f>CHOOSE( CONTROL!$C$32, 7.8982, 7.8971) * CHOOSE(CONTROL!$C$15, $D$11, 100%, $F$11)</f>
        <v>7.8982000000000001</v>
      </c>
      <c r="D234" s="8">
        <f>CHOOSE( CONTROL!$C$32, 7.8768, 7.8757) * CHOOSE( CONTROL!$C$15, $D$11, 100%, $F$11)</f>
        <v>7.8768000000000002</v>
      </c>
      <c r="E234" s="12">
        <f>CHOOSE( CONTROL!$C$32, 7.8841, 7.883) * CHOOSE( CONTROL!$C$15, $D$11, 100%, $F$11)</f>
        <v>7.8841000000000001</v>
      </c>
      <c r="F234" s="4">
        <f>CHOOSE( CONTROL!$C$32, 8.5584, 8.5573) * CHOOSE(CONTROL!$C$15, $D$11, 100%, $F$11)</f>
        <v>8.5584000000000007</v>
      </c>
      <c r="G234" s="8">
        <f>CHOOSE( CONTROL!$C$32, 7.8027, 7.8016) * CHOOSE( CONTROL!$C$15, $D$11, 100%, $F$11)</f>
        <v>7.8026999999999997</v>
      </c>
      <c r="H234" s="4">
        <f>CHOOSE( CONTROL!$C$32, 8.7048, 8.7037) * CHOOSE(CONTROL!$C$15, $D$11, 100%, $F$11)</f>
        <v>8.7048000000000005</v>
      </c>
      <c r="I234" s="8">
        <f>CHOOSE( CONTROL!$C$32, 7.8023, 7.8012) * CHOOSE(CONTROL!$C$15, $D$11, 100%, $F$11)</f>
        <v>7.8022999999999998</v>
      </c>
      <c r="J234" s="4">
        <f>CHOOSE( CONTROL!$C$32, 7.6515, 7.6505) * CHOOSE(CONTROL!$C$15, $D$11, 100%, $F$11)</f>
        <v>7.6515000000000004</v>
      </c>
      <c r="K234" s="4"/>
      <c r="L234" s="9">
        <v>27.415299999999998</v>
      </c>
      <c r="M234" s="9">
        <v>11.285299999999999</v>
      </c>
      <c r="N234" s="9">
        <v>4.6254999999999997</v>
      </c>
      <c r="O234" s="9">
        <v>0.34989999999999999</v>
      </c>
      <c r="P234" s="9">
        <v>1.2093</v>
      </c>
      <c r="Q234" s="9">
        <v>28.878799999999998</v>
      </c>
      <c r="R234" s="9"/>
      <c r="S234" s="11"/>
    </row>
    <row r="235" spans="1:19" ht="15.75">
      <c r="A235" s="13">
        <v>48274</v>
      </c>
      <c r="B235" s="8">
        <f>CHOOSE( CONTROL!$C$32, 7.7253, 7.7242) * CHOOSE(CONTROL!$C$15, $D$11, 100%, $F$11)</f>
        <v>7.7252999999999998</v>
      </c>
      <c r="C235" s="8">
        <f>CHOOSE( CONTROL!$C$32, 7.7304, 7.7293) * CHOOSE(CONTROL!$C$15, $D$11, 100%, $F$11)</f>
        <v>7.7304000000000004</v>
      </c>
      <c r="D235" s="8">
        <f>CHOOSE( CONTROL!$C$32, 7.7083, 7.7072) * CHOOSE( CONTROL!$C$15, $D$11, 100%, $F$11)</f>
        <v>7.7083000000000004</v>
      </c>
      <c r="E235" s="12">
        <f>CHOOSE( CONTROL!$C$32, 7.7158, 7.7147) * CHOOSE( CONTROL!$C$15, $D$11, 100%, $F$11)</f>
        <v>7.7157999999999998</v>
      </c>
      <c r="F235" s="4">
        <f>CHOOSE( CONTROL!$C$32, 8.3906, 8.3895) * CHOOSE(CONTROL!$C$15, $D$11, 100%, $F$11)</f>
        <v>8.3905999999999992</v>
      </c>
      <c r="G235" s="8">
        <f>CHOOSE( CONTROL!$C$32, 7.6364, 7.6353) * CHOOSE( CONTROL!$C$15, $D$11, 100%, $F$11)</f>
        <v>7.6364000000000001</v>
      </c>
      <c r="H235" s="4">
        <f>CHOOSE( CONTROL!$C$32, 8.539, 8.5379) * CHOOSE(CONTROL!$C$15, $D$11, 100%, $F$11)</f>
        <v>8.5389999999999997</v>
      </c>
      <c r="I235" s="8">
        <f>CHOOSE( CONTROL!$C$32, 7.6373, 7.6363) * CHOOSE(CONTROL!$C$15, $D$11, 100%, $F$11)</f>
        <v>7.6372999999999998</v>
      </c>
      <c r="J235" s="4">
        <f>CHOOSE( CONTROL!$C$32, 7.4886, 7.4876) * CHOOSE(CONTROL!$C$15, $D$11, 100%, $F$11)</f>
        <v>7.4885999999999999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30.8704</v>
      </c>
      <c r="R235" s="9"/>
      <c r="S235" s="11"/>
    </row>
    <row r="236" spans="1:19" ht="15.75">
      <c r="A236" s="13">
        <v>48305</v>
      </c>
      <c r="B236" s="8">
        <f>CHOOSE( CONTROL!$C$32, 7.8433, 7.8422) * CHOOSE(CONTROL!$C$15, $D$11, 100%, $F$11)</f>
        <v>7.8433000000000002</v>
      </c>
      <c r="C236" s="8">
        <f>CHOOSE( CONTROL!$C$32, 7.8478, 7.8467) * CHOOSE(CONTROL!$C$15, $D$11, 100%, $F$11)</f>
        <v>7.8478000000000003</v>
      </c>
      <c r="D236" s="8">
        <f>CHOOSE( CONTROL!$C$32, 7.8507, 7.8496) * CHOOSE( CONTROL!$C$15, $D$11, 100%, $F$11)</f>
        <v>7.8506999999999998</v>
      </c>
      <c r="E236" s="12">
        <f>CHOOSE( CONTROL!$C$32, 7.8492, 7.8481) * CHOOSE( CONTROL!$C$15, $D$11, 100%, $F$11)</f>
        <v>7.8491999999999997</v>
      </c>
      <c r="F236" s="4">
        <f>CHOOSE( CONTROL!$C$32, 8.5516, 8.5505) * CHOOSE(CONTROL!$C$15, $D$11, 100%, $F$11)</f>
        <v>8.5516000000000005</v>
      </c>
      <c r="G236" s="8">
        <f>CHOOSE( CONTROL!$C$32, 7.7628, 7.7617) * CHOOSE( CONTROL!$C$15, $D$11, 100%, $F$11)</f>
        <v>7.7628000000000004</v>
      </c>
      <c r="H236" s="4">
        <f>CHOOSE( CONTROL!$C$32, 8.6981, 8.6971) * CHOOSE(CONTROL!$C$15, $D$11, 100%, $F$11)</f>
        <v>8.6981000000000002</v>
      </c>
      <c r="I236" s="8">
        <f>CHOOSE( CONTROL!$C$32, 7.7234, 7.7224) * CHOOSE(CONTROL!$C$15, $D$11, 100%, $F$11)</f>
        <v>7.7233999999999998</v>
      </c>
      <c r="J236" s="4">
        <f>CHOOSE( CONTROL!$C$32, 7.6025, 7.6014) * CHOOSE(CONTROL!$C$15, $D$11, 100%, $F$11)</f>
        <v>7.6025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1.2509999999999999</v>
      </c>
      <c r="Q236" s="9">
        <v>29.874600000000001</v>
      </c>
      <c r="R236" s="9"/>
      <c r="S236" s="11"/>
    </row>
    <row r="237" spans="1:19" ht="15.75">
      <c r="A237" s="13">
        <v>48335</v>
      </c>
      <c r="B237" s="8">
        <f>CHOOSE( CONTROL!$C$32, 8.054, 8.0523) * CHOOSE(CONTROL!$C$15, $D$11, 100%, $F$11)</f>
        <v>8.0540000000000003</v>
      </c>
      <c r="C237" s="8">
        <f>CHOOSE( CONTROL!$C$32, 8.0619, 8.0603) * CHOOSE(CONTROL!$C$15, $D$11, 100%, $F$11)</f>
        <v>8.0618999999999996</v>
      </c>
      <c r="D237" s="8">
        <f>CHOOSE( CONTROL!$C$32, 8.0587, 8.057) * CHOOSE( CONTROL!$C$15, $D$11, 100%, $F$11)</f>
        <v>8.0587</v>
      </c>
      <c r="E237" s="12">
        <f>CHOOSE( CONTROL!$C$32, 8.0587, 8.057) * CHOOSE( CONTROL!$C$15, $D$11, 100%, $F$11)</f>
        <v>8.0587</v>
      </c>
      <c r="F237" s="4">
        <f>CHOOSE( CONTROL!$C$32, 8.7609, 8.7593) * CHOOSE(CONTROL!$C$15, $D$11, 100%, $F$11)</f>
        <v>8.7608999999999995</v>
      </c>
      <c r="G237" s="8">
        <f>CHOOSE( CONTROL!$C$32, 7.9695, 7.9678) * CHOOSE( CONTROL!$C$15, $D$11, 100%, $F$11)</f>
        <v>7.9695</v>
      </c>
      <c r="H237" s="4">
        <f>CHOOSE( CONTROL!$C$32, 8.905, 8.9033) * CHOOSE(CONTROL!$C$15, $D$11, 100%, $F$11)</f>
        <v>8.9049999999999994</v>
      </c>
      <c r="I237" s="8">
        <f>CHOOSE( CONTROL!$C$32, 7.9259, 7.9243) * CHOOSE(CONTROL!$C$15, $D$11, 100%, $F$11)</f>
        <v>7.9259000000000004</v>
      </c>
      <c r="J237" s="4">
        <f>CHOOSE( CONTROL!$C$32, 7.8056, 7.8039) * CHOOSE(CONTROL!$C$15, $D$11, 100%, $F$11)</f>
        <v>7.8056000000000001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1.2927</v>
      </c>
      <c r="Q237" s="9">
        <v>30.8704</v>
      </c>
      <c r="R237" s="9"/>
      <c r="S237" s="11"/>
    </row>
    <row r="238" spans="1:19" ht="15.75">
      <c r="A238" s="13">
        <v>48366</v>
      </c>
      <c r="B238" s="8">
        <f>CHOOSE( CONTROL!$C$32, 7.9247, 7.923) * CHOOSE(CONTROL!$C$15, $D$11, 100%, $F$11)</f>
        <v>7.9246999999999996</v>
      </c>
      <c r="C238" s="8">
        <f>CHOOSE( CONTROL!$C$32, 7.9327, 7.931) * CHOOSE(CONTROL!$C$15, $D$11, 100%, $F$11)</f>
        <v>7.9326999999999996</v>
      </c>
      <c r="D238" s="8">
        <f>CHOOSE( CONTROL!$C$32, 7.9296, 7.928) * CHOOSE( CONTROL!$C$15, $D$11, 100%, $F$11)</f>
        <v>7.9295999999999998</v>
      </c>
      <c r="E238" s="12">
        <f>CHOOSE( CONTROL!$C$32, 7.9295, 7.9279) * CHOOSE( CONTROL!$C$15, $D$11, 100%, $F$11)</f>
        <v>7.9295</v>
      </c>
      <c r="F238" s="4">
        <f>CHOOSE( CONTROL!$C$32, 8.6316, 8.63) * CHOOSE(CONTROL!$C$15, $D$11, 100%, $F$11)</f>
        <v>8.6316000000000006</v>
      </c>
      <c r="G238" s="8">
        <f>CHOOSE( CONTROL!$C$32, 7.8419, 7.8402) * CHOOSE( CONTROL!$C$15, $D$11, 100%, $F$11)</f>
        <v>7.8418999999999999</v>
      </c>
      <c r="H238" s="4">
        <f>CHOOSE( CONTROL!$C$32, 8.7772, 8.7755) * CHOOSE(CONTROL!$C$15, $D$11, 100%, $F$11)</f>
        <v>8.7772000000000006</v>
      </c>
      <c r="I238" s="8">
        <f>CHOOSE( CONTROL!$C$32, 7.8012, 7.7996) * CHOOSE(CONTROL!$C$15, $D$11, 100%, $F$11)</f>
        <v>7.8011999999999997</v>
      </c>
      <c r="J238" s="4">
        <f>CHOOSE( CONTROL!$C$32, 7.6801, 7.6785) * CHOOSE(CONTROL!$C$15, $D$11, 100%, $F$11)</f>
        <v>7.6801000000000004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1.2509999999999999</v>
      </c>
      <c r="Q238" s="9">
        <v>29.874600000000001</v>
      </c>
      <c r="R238" s="9"/>
      <c r="S238" s="11"/>
    </row>
    <row r="239" spans="1:19" ht="15.75">
      <c r="A239" s="13">
        <v>48396</v>
      </c>
      <c r="B239" s="8">
        <f>CHOOSE( CONTROL!$C$32, 8.2651, 8.2635) * CHOOSE(CONTROL!$C$15, $D$11, 100%, $F$11)</f>
        <v>8.2651000000000003</v>
      </c>
      <c r="C239" s="8">
        <f>CHOOSE( CONTROL!$C$32, 8.2731, 8.2714) * CHOOSE(CONTROL!$C$15, $D$11, 100%, $F$11)</f>
        <v>8.2730999999999995</v>
      </c>
      <c r="D239" s="8">
        <f>CHOOSE( CONTROL!$C$32, 8.2703, 8.2687) * CHOOSE( CONTROL!$C$15, $D$11, 100%, $F$11)</f>
        <v>8.2703000000000007</v>
      </c>
      <c r="E239" s="12">
        <f>CHOOSE( CONTROL!$C$32, 8.2701, 8.2685) * CHOOSE( CONTROL!$C$15, $D$11, 100%, $F$11)</f>
        <v>8.2700999999999993</v>
      </c>
      <c r="F239" s="4">
        <f>CHOOSE( CONTROL!$C$32, 8.9721, 8.9704) * CHOOSE(CONTROL!$C$15, $D$11, 100%, $F$11)</f>
        <v>8.9720999999999993</v>
      </c>
      <c r="G239" s="8">
        <f>CHOOSE( CONTROL!$C$32, 8.1785, 8.1769) * CHOOSE( CONTROL!$C$15, $D$11, 100%, $F$11)</f>
        <v>8.1784999999999997</v>
      </c>
      <c r="H239" s="4">
        <f>CHOOSE( CONTROL!$C$32, 9.1136, 9.112) * CHOOSE(CONTROL!$C$15, $D$11, 100%, $F$11)</f>
        <v>9.1135999999999999</v>
      </c>
      <c r="I239" s="8">
        <f>CHOOSE( CONTROL!$C$32, 8.1326, 8.131) * CHOOSE(CONTROL!$C$15, $D$11, 100%, $F$11)</f>
        <v>8.1326000000000001</v>
      </c>
      <c r="J239" s="4">
        <f>CHOOSE( CONTROL!$C$32, 8.0105, 8.0089) * CHOOSE(CONTROL!$C$15, $D$11, 100%, $F$11)</f>
        <v>8.0105000000000004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1.2927</v>
      </c>
      <c r="Q239" s="9">
        <v>30.8704</v>
      </c>
      <c r="R239" s="9"/>
      <c r="S239" s="11"/>
    </row>
    <row r="240" spans="1:19" ht="15.75">
      <c r="A240" s="13">
        <v>48427</v>
      </c>
      <c r="B240" s="8">
        <f>CHOOSE( CONTROL!$C$32, 7.6281, 7.6265) * CHOOSE(CONTROL!$C$15, $D$11, 100%, $F$11)</f>
        <v>7.6280999999999999</v>
      </c>
      <c r="C240" s="8">
        <f>CHOOSE( CONTROL!$C$32, 7.6361, 7.6344) * CHOOSE(CONTROL!$C$15, $D$11, 100%, $F$11)</f>
        <v>7.6360999999999999</v>
      </c>
      <c r="D240" s="8">
        <f>CHOOSE( CONTROL!$C$32, 7.6334, 7.6317) * CHOOSE( CONTROL!$C$15, $D$11, 100%, $F$11)</f>
        <v>7.6334</v>
      </c>
      <c r="E240" s="12">
        <f>CHOOSE( CONTROL!$C$32, 7.6332, 7.6315) * CHOOSE( CONTROL!$C$15, $D$11, 100%, $F$11)</f>
        <v>7.6332000000000004</v>
      </c>
      <c r="F240" s="4">
        <f>CHOOSE( CONTROL!$C$32, 8.3351, 8.3334) * CHOOSE(CONTROL!$C$15, $D$11, 100%, $F$11)</f>
        <v>8.3351000000000006</v>
      </c>
      <c r="G240" s="8">
        <f>CHOOSE( CONTROL!$C$32, 7.549, 7.5474) * CHOOSE( CONTROL!$C$15, $D$11, 100%, $F$11)</f>
        <v>7.5490000000000004</v>
      </c>
      <c r="H240" s="4">
        <f>CHOOSE( CONTROL!$C$32, 8.4841, 8.4825) * CHOOSE(CONTROL!$C$15, $D$11, 100%, $F$11)</f>
        <v>8.4840999999999998</v>
      </c>
      <c r="I240" s="8">
        <f>CHOOSE( CONTROL!$C$32, 7.5144, 7.5128) * CHOOSE(CONTROL!$C$15, $D$11, 100%, $F$11)</f>
        <v>7.5144000000000002</v>
      </c>
      <c r="J240" s="4">
        <f>CHOOSE( CONTROL!$C$32, 7.3923, 7.3907) * CHOOSE(CONTROL!$C$15, $D$11, 100%, $F$11)</f>
        <v>7.3922999999999996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1.2927</v>
      </c>
      <c r="Q240" s="9">
        <v>30.8704</v>
      </c>
      <c r="R240" s="9"/>
      <c r="S240" s="11"/>
    </row>
    <row r="241" spans="1:19" ht="15.75">
      <c r="A241" s="13">
        <v>48458</v>
      </c>
      <c r="B241" s="8">
        <f>CHOOSE( CONTROL!$C$32, 7.4686, 7.4669) * CHOOSE(CONTROL!$C$15, $D$11, 100%, $F$11)</f>
        <v>7.4686000000000003</v>
      </c>
      <c r="C241" s="8">
        <f>CHOOSE( CONTROL!$C$32, 7.4766, 7.4749) * CHOOSE(CONTROL!$C$15, $D$11, 100%, $F$11)</f>
        <v>7.4766000000000004</v>
      </c>
      <c r="D241" s="8">
        <f>CHOOSE( CONTROL!$C$32, 7.4738, 7.4722) * CHOOSE( CONTROL!$C$15, $D$11, 100%, $F$11)</f>
        <v>7.4737999999999998</v>
      </c>
      <c r="E241" s="12">
        <f>CHOOSE( CONTROL!$C$32, 7.4736, 7.472) * CHOOSE( CONTROL!$C$15, $D$11, 100%, $F$11)</f>
        <v>7.4736000000000002</v>
      </c>
      <c r="F241" s="4">
        <f>CHOOSE( CONTROL!$C$32, 8.1755, 8.1739) * CHOOSE(CONTROL!$C$15, $D$11, 100%, $F$11)</f>
        <v>8.1754999999999995</v>
      </c>
      <c r="G241" s="8">
        <f>CHOOSE( CONTROL!$C$32, 7.3913, 7.3897) * CHOOSE( CONTROL!$C$15, $D$11, 100%, $F$11)</f>
        <v>7.3913000000000002</v>
      </c>
      <c r="H241" s="4">
        <f>CHOOSE( CONTROL!$C$32, 8.3264, 8.3248) * CHOOSE(CONTROL!$C$15, $D$11, 100%, $F$11)</f>
        <v>8.3263999999999996</v>
      </c>
      <c r="I241" s="8">
        <f>CHOOSE( CONTROL!$C$32, 7.3593, 7.3577) * CHOOSE(CONTROL!$C$15, $D$11, 100%, $F$11)</f>
        <v>7.3593000000000002</v>
      </c>
      <c r="J241" s="4">
        <f>CHOOSE( CONTROL!$C$32, 7.2375, 7.2358) * CHOOSE(CONTROL!$C$15, $D$11, 100%, $F$11)</f>
        <v>7.2374999999999998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1.2509999999999999</v>
      </c>
      <c r="Q241" s="9">
        <v>29.874600000000001</v>
      </c>
      <c r="R241" s="9"/>
      <c r="S241" s="11"/>
    </row>
    <row r="242" spans="1:19" ht="15.75">
      <c r="A242" s="13">
        <v>48488</v>
      </c>
      <c r="B242" s="8">
        <f>CHOOSE( CONTROL!$C$32, 7.7975, 7.7964) * CHOOSE(CONTROL!$C$15, $D$11, 100%, $F$11)</f>
        <v>7.7975000000000003</v>
      </c>
      <c r="C242" s="8">
        <f>CHOOSE( CONTROL!$C$32, 7.8028, 7.8018) * CHOOSE(CONTROL!$C$15, $D$11, 100%, $F$11)</f>
        <v>7.8028000000000004</v>
      </c>
      <c r="D242" s="8">
        <f>CHOOSE( CONTROL!$C$32, 7.8057, 7.8047) * CHOOSE( CONTROL!$C$15, $D$11, 100%, $F$11)</f>
        <v>7.8056999999999999</v>
      </c>
      <c r="E242" s="12">
        <f>CHOOSE( CONTROL!$C$32, 7.8042, 7.8032) * CHOOSE( CONTROL!$C$15, $D$11, 100%, $F$11)</f>
        <v>7.8041999999999998</v>
      </c>
      <c r="F242" s="4">
        <f>CHOOSE( CONTROL!$C$32, 8.5062, 8.5051) * CHOOSE(CONTROL!$C$15, $D$11, 100%, $F$11)</f>
        <v>8.5061999999999998</v>
      </c>
      <c r="G242" s="8">
        <f>CHOOSE( CONTROL!$C$32, 7.7183, 7.7172) * CHOOSE( CONTROL!$C$15, $D$11, 100%, $F$11)</f>
        <v>7.7183000000000002</v>
      </c>
      <c r="H242" s="4">
        <f>CHOOSE( CONTROL!$C$32, 8.6532, 8.6521) * CHOOSE(CONTROL!$C$15, $D$11, 100%, $F$11)</f>
        <v>8.6532</v>
      </c>
      <c r="I242" s="8">
        <f>CHOOSE( CONTROL!$C$32, 7.6812, 7.6801) * CHOOSE(CONTROL!$C$15, $D$11, 100%, $F$11)</f>
        <v>7.6811999999999996</v>
      </c>
      <c r="J242" s="4">
        <f>CHOOSE( CONTROL!$C$32, 7.5583, 7.5573) * CHOOSE(CONTROL!$C$15, $D$11, 100%, $F$11)</f>
        <v>7.5583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1.2927</v>
      </c>
      <c r="Q242" s="9">
        <v>30.8704</v>
      </c>
      <c r="R242" s="9"/>
      <c r="S242" s="11"/>
    </row>
    <row r="243" spans="1:19" ht="15.75">
      <c r="A243" s="13">
        <v>48519</v>
      </c>
      <c r="B243" s="8">
        <f>CHOOSE( CONTROL!$C$32, 8.4085, 8.4074) * CHOOSE(CONTROL!$C$15, $D$11, 100%, $F$11)</f>
        <v>8.4085000000000001</v>
      </c>
      <c r="C243" s="8">
        <f>CHOOSE( CONTROL!$C$32, 8.4135, 8.4124) * CHOOSE(CONTROL!$C$15, $D$11, 100%, $F$11)</f>
        <v>8.4135000000000009</v>
      </c>
      <c r="D243" s="8">
        <f>CHOOSE( CONTROL!$C$32, 8.3957, 8.3946) * CHOOSE( CONTROL!$C$15, $D$11, 100%, $F$11)</f>
        <v>8.3956999999999997</v>
      </c>
      <c r="E243" s="12">
        <f>CHOOSE( CONTROL!$C$32, 8.4017, 8.4006) * CHOOSE( CONTROL!$C$15, $D$11, 100%, $F$11)</f>
        <v>8.4016999999999999</v>
      </c>
      <c r="F243" s="4">
        <f>CHOOSE( CONTROL!$C$32, 9.0737, 9.0727) * CHOOSE(CONTROL!$C$15, $D$11, 100%, $F$11)</f>
        <v>9.0737000000000005</v>
      </c>
      <c r="G243" s="8">
        <f>CHOOSE( CONTROL!$C$32, 8.3216, 8.3205) * CHOOSE( CONTROL!$C$15, $D$11, 100%, $F$11)</f>
        <v>8.3216000000000001</v>
      </c>
      <c r="H243" s="4">
        <f>CHOOSE( CONTROL!$C$32, 9.2141, 9.213) * CHOOSE(CONTROL!$C$15, $D$11, 100%, $F$11)</f>
        <v>9.2141000000000002</v>
      </c>
      <c r="I243" s="8">
        <f>CHOOSE( CONTROL!$C$32, 8.3366, 8.3355) * CHOOSE(CONTROL!$C$15, $D$11, 100%, $F$11)</f>
        <v>8.3366000000000007</v>
      </c>
      <c r="J243" s="4">
        <f>CHOOSE( CONTROL!$C$32, 8.1517, 8.1506) * CHOOSE(CONTROL!$C$15, $D$11, 100%, $F$11)</f>
        <v>8.1516999999999999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29.874600000000001</v>
      </c>
      <c r="R243" s="9"/>
      <c r="S243" s="11"/>
    </row>
    <row r="244" spans="1:19" ht="15.75">
      <c r="A244" s="13">
        <v>48549</v>
      </c>
      <c r="B244" s="8">
        <f>CHOOSE( CONTROL!$C$32, 8.3932, 8.3921) * CHOOSE(CONTROL!$C$15, $D$11, 100%, $F$11)</f>
        <v>8.3932000000000002</v>
      </c>
      <c r="C244" s="8">
        <f>CHOOSE( CONTROL!$C$32, 8.3983, 8.3972) * CHOOSE(CONTROL!$C$15, $D$11, 100%, $F$11)</f>
        <v>8.3983000000000008</v>
      </c>
      <c r="D244" s="8">
        <f>CHOOSE( CONTROL!$C$32, 8.3819, 8.3808) * CHOOSE( CONTROL!$C$15, $D$11, 100%, $F$11)</f>
        <v>8.3818999999999999</v>
      </c>
      <c r="E244" s="12">
        <f>CHOOSE( CONTROL!$C$32, 8.3874, 8.3863) * CHOOSE( CONTROL!$C$15, $D$11, 100%, $F$11)</f>
        <v>8.3873999999999995</v>
      </c>
      <c r="F244" s="4">
        <f>CHOOSE( CONTROL!$C$32, 9.0585, 9.0574) * CHOOSE(CONTROL!$C$15, $D$11, 100%, $F$11)</f>
        <v>9.0585000000000004</v>
      </c>
      <c r="G244" s="8">
        <f>CHOOSE( CONTROL!$C$32, 8.3075, 8.3064) * CHOOSE( CONTROL!$C$15, $D$11, 100%, $F$11)</f>
        <v>8.3074999999999992</v>
      </c>
      <c r="H244" s="4">
        <f>CHOOSE( CONTROL!$C$32, 9.199, 9.198) * CHOOSE(CONTROL!$C$15, $D$11, 100%, $F$11)</f>
        <v>9.1989999999999998</v>
      </c>
      <c r="I244" s="8">
        <f>CHOOSE( CONTROL!$C$32, 8.3262, 8.3251) * CHOOSE(CONTROL!$C$15, $D$11, 100%, $F$11)</f>
        <v>8.3262</v>
      </c>
      <c r="J244" s="4">
        <f>CHOOSE( CONTROL!$C$32, 8.1368, 8.1358) * CHOOSE(CONTROL!$C$15, $D$11, 100%, $F$11)</f>
        <v>8.1367999999999991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30.8704</v>
      </c>
      <c r="R244" s="9"/>
      <c r="S244" s="11"/>
    </row>
    <row r="245" spans="1:19" ht="15.75">
      <c r="A245" s="13">
        <v>48580</v>
      </c>
      <c r="B245" s="8">
        <f>CHOOSE( CONTROL!$C$32, 8.6884, 8.6873) * CHOOSE(CONTROL!$C$15, $D$11, 100%, $F$11)</f>
        <v>8.6883999999999997</v>
      </c>
      <c r="C245" s="8">
        <f>CHOOSE( CONTROL!$C$32, 8.6935, 8.6924) * CHOOSE(CONTROL!$C$15, $D$11, 100%, $F$11)</f>
        <v>8.6935000000000002</v>
      </c>
      <c r="D245" s="8">
        <f>CHOOSE( CONTROL!$C$32, 8.6722, 8.6711) * CHOOSE( CONTROL!$C$15, $D$11, 100%, $F$11)</f>
        <v>8.6722000000000001</v>
      </c>
      <c r="E245" s="12">
        <f>CHOOSE( CONTROL!$C$32, 8.6794, 8.6783) * CHOOSE( CONTROL!$C$15, $D$11, 100%, $F$11)</f>
        <v>8.6793999999999993</v>
      </c>
      <c r="F245" s="4">
        <f>CHOOSE( CONTROL!$C$32, 9.3537, 9.3526) * CHOOSE(CONTROL!$C$15, $D$11, 100%, $F$11)</f>
        <v>9.3536999999999999</v>
      </c>
      <c r="G245" s="8">
        <f>CHOOSE( CONTROL!$C$32, 8.5888, 8.5877) * CHOOSE( CONTROL!$C$15, $D$11, 100%, $F$11)</f>
        <v>8.5888000000000009</v>
      </c>
      <c r="H245" s="4">
        <f>CHOOSE( CONTROL!$C$32, 9.4908, 9.4897) * CHOOSE(CONTROL!$C$15, $D$11, 100%, $F$11)</f>
        <v>9.4908000000000001</v>
      </c>
      <c r="I245" s="8">
        <f>CHOOSE( CONTROL!$C$32, 8.5749, 8.5738) * CHOOSE(CONTROL!$C$15, $D$11, 100%, $F$11)</f>
        <v>8.5748999999999995</v>
      </c>
      <c r="J245" s="4">
        <f>CHOOSE( CONTROL!$C$32, 8.4233, 8.4223) * CHOOSE(CONTROL!$C$15, $D$11, 100%, $F$11)</f>
        <v>8.4232999999999993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30.773700000000002</v>
      </c>
      <c r="R245" s="9"/>
      <c r="S245" s="11"/>
    </row>
    <row r="246" spans="1:19" ht="15.75">
      <c r="A246" s="13">
        <v>48611</v>
      </c>
      <c r="B246" s="8">
        <f>CHOOSE( CONTROL!$C$32, 8.1274, 8.1263) * CHOOSE(CONTROL!$C$15, $D$11, 100%, $F$11)</f>
        <v>8.1273999999999997</v>
      </c>
      <c r="C246" s="8">
        <f>CHOOSE( CONTROL!$C$32, 8.1324, 8.1314) * CHOOSE(CONTROL!$C$15, $D$11, 100%, $F$11)</f>
        <v>8.1324000000000005</v>
      </c>
      <c r="D246" s="8">
        <f>CHOOSE( CONTROL!$C$32, 8.111, 8.1099) * CHOOSE( CONTROL!$C$15, $D$11, 100%, $F$11)</f>
        <v>8.1110000000000007</v>
      </c>
      <c r="E246" s="12">
        <f>CHOOSE( CONTROL!$C$32, 8.1183, 8.1172) * CHOOSE( CONTROL!$C$15, $D$11, 100%, $F$11)</f>
        <v>8.1182999999999996</v>
      </c>
      <c r="F246" s="4">
        <f>CHOOSE( CONTROL!$C$32, 8.7926, 8.7916) * CHOOSE(CONTROL!$C$15, $D$11, 100%, $F$11)</f>
        <v>8.7926000000000002</v>
      </c>
      <c r="G246" s="8">
        <f>CHOOSE( CONTROL!$C$32, 8.0342, 8.0331) * CHOOSE( CONTROL!$C$15, $D$11, 100%, $F$11)</f>
        <v>8.0342000000000002</v>
      </c>
      <c r="H246" s="4">
        <f>CHOOSE( CONTROL!$C$32, 8.9363, 8.9352) * CHOOSE(CONTROL!$C$15, $D$11, 100%, $F$11)</f>
        <v>8.9362999999999992</v>
      </c>
      <c r="I246" s="8">
        <f>CHOOSE( CONTROL!$C$32, 8.0297, 8.0287) * CHOOSE(CONTROL!$C$15, $D$11, 100%, $F$11)</f>
        <v>8.0297000000000001</v>
      </c>
      <c r="J246" s="4">
        <f>CHOOSE( CONTROL!$C$32, 7.8788, 7.8778) * CHOOSE(CONTROL!$C$15, $D$11, 100%, $F$11)</f>
        <v>7.8788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27.7956</v>
      </c>
      <c r="R246" s="9"/>
      <c r="S246" s="11"/>
    </row>
    <row r="247" spans="1:19" ht="15.75">
      <c r="A247" s="13">
        <v>48639</v>
      </c>
      <c r="B247" s="8">
        <f>CHOOSE( CONTROL!$C$32, 7.9546, 7.9535) * CHOOSE(CONTROL!$C$15, $D$11, 100%, $F$11)</f>
        <v>7.9546000000000001</v>
      </c>
      <c r="C247" s="8">
        <f>CHOOSE( CONTROL!$C$32, 7.9596, 7.9586) * CHOOSE(CONTROL!$C$15, $D$11, 100%, $F$11)</f>
        <v>7.9596</v>
      </c>
      <c r="D247" s="8">
        <f>CHOOSE( CONTROL!$C$32, 7.9376, 7.9365) * CHOOSE( CONTROL!$C$15, $D$11, 100%, $F$11)</f>
        <v>7.9375999999999998</v>
      </c>
      <c r="E247" s="12">
        <f>CHOOSE( CONTROL!$C$32, 7.9451, 7.944) * CHOOSE( CONTROL!$C$15, $D$11, 100%, $F$11)</f>
        <v>7.9451000000000001</v>
      </c>
      <c r="F247" s="4">
        <f>CHOOSE( CONTROL!$C$32, 8.6198, 8.6188) * CHOOSE(CONTROL!$C$15, $D$11, 100%, $F$11)</f>
        <v>8.6197999999999997</v>
      </c>
      <c r="G247" s="8">
        <f>CHOOSE( CONTROL!$C$32, 7.863, 7.8619) * CHOOSE( CONTROL!$C$15, $D$11, 100%, $F$11)</f>
        <v>7.8630000000000004</v>
      </c>
      <c r="H247" s="4">
        <f>CHOOSE( CONTROL!$C$32, 8.7655, 8.7645) * CHOOSE(CONTROL!$C$15, $D$11, 100%, $F$11)</f>
        <v>8.7654999999999994</v>
      </c>
      <c r="I247" s="8">
        <f>CHOOSE( CONTROL!$C$32, 7.8599, 7.8589) * CHOOSE(CONTROL!$C$15, $D$11, 100%, $F$11)</f>
        <v>7.8598999999999997</v>
      </c>
      <c r="J247" s="4">
        <f>CHOOSE( CONTROL!$C$32, 7.7111, 7.7101) * CHOOSE(CONTROL!$C$15, $D$11, 100%, $F$11)</f>
        <v>7.7111000000000001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30.773700000000002</v>
      </c>
      <c r="R247" s="9"/>
      <c r="S247" s="11"/>
    </row>
    <row r="248" spans="1:19" ht="15.75">
      <c r="A248" s="13">
        <v>48670</v>
      </c>
      <c r="B248" s="8">
        <f>CHOOSE( CONTROL!$C$32, 8.0761, 8.075) * CHOOSE(CONTROL!$C$15, $D$11, 100%, $F$11)</f>
        <v>8.0761000000000003</v>
      </c>
      <c r="C248" s="8">
        <f>CHOOSE( CONTROL!$C$32, 8.0806, 8.0795) * CHOOSE(CONTROL!$C$15, $D$11, 100%, $F$11)</f>
        <v>8.0806000000000004</v>
      </c>
      <c r="D248" s="8">
        <f>CHOOSE( CONTROL!$C$32, 8.0834, 8.0823) * CHOOSE( CONTROL!$C$15, $D$11, 100%, $F$11)</f>
        <v>8.0833999999999993</v>
      </c>
      <c r="E248" s="12">
        <f>CHOOSE( CONTROL!$C$32, 8.082, 8.0809) * CHOOSE( CONTROL!$C$15, $D$11, 100%, $F$11)</f>
        <v>8.0820000000000007</v>
      </c>
      <c r="F248" s="4">
        <f>CHOOSE( CONTROL!$C$32, 8.7844, 8.7833) * CHOOSE(CONTROL!$C$15, $D$11, 100%, $F$11)</f>
        <v>8.7843999999999998</v>
      </c>
      <c r="G248" s="8">
        <f>CHOOSE( CONTROL!$C$32, 7.9928, 7.9917) * CHOOSE( CONTROL!$C$15, $D$11, 100%, $F$11)</f>
        <v>7.9927999999999999</v>
      </c>
      <c r="H248" s="4">
        <f>CHOOSE( CONTROL!$C$32, 8.9282, 8.9271) * CHOOSE(CONTROL!$C$15, $D$11, 100%, $F$11)</f>
        <v>8.9282000000000004</v>
      </c>
      <c r="I248" s="8">
        <f>CHOOSE( CONTROL!$C$32, 7.9494, 7.9484) * CHOOSE(CONTROL!$C$15, $D$11, 100%, $F$11)</f>
        <v>7.9493999999999998</v>
      </c>
      <c r="J248" s="4">
        <f>CHOOSE( CONTROL!$C$32, 7.8283, 7.8273) * CHOOSE(CONTROL!$C$15, $D$11, 100%, $F$11)</f>
        <v>7.8282999999999996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1.2509999999999999</v>
      </c>
      <c r="Q248" s="9">
        <v>29.780999999999999</v>
      </c>
      <c r="R248" s="9"/>
      <c r="S248" s="11"/>
    </row>
    <row r="249" spans="1:19" ht="15.75">
      <c r="A249" s="13">
        <v>48700</v>
      </c>
      <c r="B249" s="8">
        <f>CHOOSE( CONTROL!$C$32, 8.2929, 8.2913) * CHOOSE(CONTROL!$C$15, $D$11, 100%, $F$11)</f>
        <v>8.2928999999999995</v>
      </c>
      <c r="C249" s="8">
        <f>CHOOSE( CONTROL!$C$32, 8.3009, 8.2992) * CHOOSE(CONTROL!$C$15, $D$11, 100%, $F$11)</f>
        <v>8.3009000000000004</v>
      </c>
      <c r="D249" s="8">
        <f>CHOOSE( CONTROL!$C$32, 8.2976, 8.296) * CHOOSE( CONTROL!$C$15, $D$11, 100%, $F$11)</f>
        <v>8.2975999999999992</v>
      </c>
      <c r="E249" s="12">
        <f>CHOOSE( CONTROL!$C$32, 8.2976, 8.296) * CHOOSE( CONTROL!$C$15, $D$11, 100%, $F$11)</f>
        <v>8.2975999999999992</v>
      </c>
      <c r="F249" s="4">
        <f>CHOOSE( CONTROL!$C$32, 8.9999, 8.9982) * CHOOSE(CONTROL!$C$15, $D$11, 100%, $F$11)</f>
        <v>8.9999000000000002</v>
      </c>
      <c r="G249" s="8">
        <f>CHOOSE( CONTROL!$C$32, 8.2056, 8.204) * CHOOSE( CONTROL!$C$15, $D$11, 100%, $F$11)</f>
        <v>8.2056000000000004</v>
      </c>
      <c r="H249" s="4">
        <f>CHOOSE( CONTROL!$C$32, 9.1411, 9.1395) * CHOOSE(CONTROL!$C$15, $D$11, 100%, $F$11)</f>
        <v>9.1410999999999998</v>
      </c>
      <c r="I249" s="8">
        <f>CHOOSE( CONTROL!$C$32, 8.1579, 8.1563) * CHOOSE(CONTROL!$C$15, $D$11, 100%, $F$11)</f>
        <v>8.1578999999999997</v>
      </c>
      <c r="J249" s="4">
        <f>CHOOSE( CONTROL!$C$32, 8.0375, 8.0358) * CHOOSE(CONTROL!$C$15, $D$11, 100%, $F$11)</f>
        <v>8.0374999999999996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1.2927</v>
      </c>
      <c r="Q249" s="9">
        <v>30.773700000000002</v>
      </c>
      <c r="R249" s="9"/>
      <c r="S249" s="11"/>
    </row>
    <row r="250" spans="1:19" ht="15.75">
      <c r="A250" s="13">
        <v>48731</v>
      </c>
      <c r="B250" s="8">
        <f>CHOOSE( CONTROL!$C$32, 8.1598, 8.1581) * CHOOSE(CONTROL!$C$15, $D$11, 100%, $F$11)</f>
        <v>8.1598000000000006</v>
      </c>
      <c r="C250" s="8">
        <f>CHOOSE( CONTROL!$C$32, 8.1678, 8.1661) * CHOOSE(CONTROL!$C$15, $D$11, 100%, $F$11)</f>
        <v>8.1677999999999997</v>
      </c>
      <c r="D250" s="8">
        <f>CHOOSE( CONTROL!$C$32, 8.1647, 8.1631) * CHOOSE( CONTROL!$C$15, $D$11, 100%, $F$11)</f>
        <v>8.1646999999999998</v>
      </c>
      <c r="E250" s="12">
        <f>CHOOSE( CONTROL!$C$32, 8.1646, 8.163) * CHOOSE( CONTROL!$C$15, $D$11, 100%, $F$11)</f>
        <v>8.1646000000000001</v>
      </c>
      <c r="F250" s="4">
        <f>CHOOSE( CONTROL!$C$32, 8.8667, 8.8651) * CHOOSE(CONTROL!$C$15, $D$11, 100%, $F$11)</f>
        <v>8.8666999999999998</v>
      </c>
      <c r="G250" s="8">
        <f>CHOOSE( CONTROL!$C$32, 8.0742, 8.0726) * CHOOSE( CONTROL!$C$15, $D$11, 100%, $F$11)</f>
        <v>8.0741999999999994</v>
      </c>
      <c r="H250" s="4">
        <f>CHOOSE( CONTROL!$C$32, 9.0095, 9.0079) * CHOOSE(CONTROL!$C$15, $D$11, 100%, $F$11)</f>
        <v>9.0094999999999992</v>
      </c>
      <c r="I250" s="8">
        <f>CHOOSE( CONTROL!$C$32, 8.0295, 8.0279) * CHOOSE(CONTROL!$C$15, $D$11, 100%, $F$11)</f>
        <v>8.0295000000000005</v>
      </c>
      <c r="J250" s="4">
        <f>CHOOSE( CONTROL!$C$32, 7.9083, 7.9066) * CHOOSE(CONTROL!$C$15, $D$11, 100%, $F$11)</f>
        <v>7.9082999999999997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1.2509999999999999</v>
      </c>
      <c r="Q250" s="9">
        <v>29.780999999999999</v>
      </c>
      <c r="R250" s="9"/>
      <c r="S250" s="11"/>
    </row>
    <row r="251" spans="1:19" ht="15.75">
      <c r="A251" s="13">
        <v>48761</v>
      </c>
      <c r="B251" s="8">
        <f>CHOOSE( CONTROL!$C$32, 8.5104, 8.5087) * CHOOSE(CONTROL!$C$15, $D$11, 100%, $F$11)</f>
        <v>8.5104000000000006</v>
      </c>
      <c r="C251" s="8">
        <f>CHOOSE( CONTROL!$C$32, 8.5183, 8.5167) * CHOOSE(CONTROL!$C$15, $D$11, 100%, $F$11)</f>
        <v>8.5183</v>
      </c>
      <c r="D251" s="8">
        <f>CHOOSE( CONTROL!$C$32, 8.5155, 8.5139) * CHOOSE( CONTROL!$C$15, $D$11, 100%, $F$11)</f>
        <v>8.5154999999999994</v>
      </c>
      <c r="E251" s="12">
        <f>CHOOSE( CONTROL!$C$32, 8.5153, 8.5137) * CHOOSE( CONTROL!$C$15, $D$11, 100%, $F$11)</f>
        <v>8.5152999999999999</v>
      </c>
      <c r="F251" s="4">
        <f>CHOOSE( CONTROL!$C$32, 9.2173, 9.2156) * CHOOSE(CONTROL!$C$15, $D$11, 100%, $F$11)</f>
        <v>9.2172999999999998</v>
      </c>
      <c r="G251" s="8">
        <f>CHOOSE( CONTROL!$C$32, 8.4209, 8.4192) * CHOOSE( CONTROL!$C$15, $D$11, 100%, $F$11)</f>
        <v>8.4208999999999996</v>
      </c>
      <c r="H251" s="4">
        <f>CHOOSE( CONTROL!$C$32, 9.356, 9.3544) * CHOOSE(CONTROL!$C$15, $D$11, 100%, $F$11)</f>
        <v>9.3559999999999999</v>
      </c>
      <c r="I251" s="8">
        <f>CHOOSE( CONTROL!$C$32, 8.3707, 8.3691) * CHOOSE(CONTROL!$C$15, $D$11, 100%, $F$11)</f>
        <v>8.3706999999999994</v>
      </c>
      <c r="J251" s="4">
        <f>CHOOSE( CONTROL!$C$32, 8.2485, 8.2469) * CHOOSE(CONTROL!$C$15, $D$11, 100%, $F$11)</f>
        <v>8.2484999999999999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1.2927</v>
      </c>
      <c r="Q251" s="9">
        <v>30.773700000000002</v>
      </c>
      <c r="R251" s="9"/>
      <c r="S251" s="11"/>
    </row>
    <row r="252" spans="1:19" ht="15.75">
      <c r="A252" s="13">
        <v>48792</v>
      </c>
      <c r="B252" s="8">
        <f>CHOOSE( CONTROL!$C$32, 7.8544, 7.8528) * CHOOSE(CONTROL!$C$15, $D$11, 100%, $F$11)</f>
        <v>7.8544</v>
      </c>
      <c r="C252" s="8">
        <f>CHOOSE( CONTROL!$C$32, 7.8624, 7.8607) * CHOOSE(CONTROL!$C$15, $D$11, 100%, $F$11)</f>
        <v>7.8624000000000001</v>
      </c>
      <c r="D252" s="8">
        <f>CHOOSE( CONTROL!$C$32, 7.8597, 7.858) * CHOOSE( CONTROL!$C$15, $D$11, 100%, $F$11)</f>
        <v>7.8597000000000001</v>
      </c>
      <c r="E252" s="12">
        <f>CHOOSE( CONTROL!$C$32, 7.8595, 7.8578) * CHOOSE( CONTROL!$C$15, $D$11, 100%, $F$11)</f>
        <v>7.8594999999999997</v>
      </c>
      <c r="F252" s="4">
        <f>CHOOSE( CONTROL!$C$32, 8.5614, 8.5597) * CHOOSE(CONTROL!$C$15, $D$11, 100%, $F$11)</f>
        <v>8.5614000000000008</v>
      </c>
      <c r="G252" s="8">
        <f>CHOOSE( CONTROL!$C$32, 7.7727, 7.771) * CHOOSE( CONTROL!$C$15, $D$11, 100%, $F$11)</f>
        <v>7.7727000000000004</v>
      </c>
      <c r="H252" s="4">
        <f>CHOOSE( CONTROL!$C$32, 8.7077, 8.7061) * CHOOSE(CONTROL!$C$15, $D$11, 100%, $F$11)</f>
        <v>8.7077000000000009</v>
      </c>
      <c r="I252" s="8">
        <f>CHOOSE( CONTROL!$C$32, 7.7341, 7.7325) * CHOOSE(CONTROL!$C$15, $D$11, 100%, $F$11)</f>
        <v>7.7340999999999998</v>
      </c>
      <c r="J252" s="4">
        <f>CHOOSE( CONTROL!$C$32, 7.6119, 7.6103) * CHOOSE(CONTROL!$C$15, $D$11, 100%, $F$11)</f>
        <v>7.6119000000000003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1.2927</v>
      </c>
      <c r="Q252" s="9">
        <v>30.773700000000002</v>
      </c>
      <c r="R252" s="9"/>
      <c r="S252" s="11"/>
    </row>
    <row r="253" spans="1:19" ht="15.75">
      <c r="A253" s="13">
        <v>48823</v>
      </c>
      <c r="B253" s="8">
        <f>CHOOSE( CONTROL!$C$32, 7.6902, 7.6885) * CHOOSE(CONTROL!$C$15, $D$11, 100%, $F$11)</f>
        <v>7.6901999999999999</v>
      </c>
      <c r="C253" s="8">
        <f>CHOOSE( CONTROL!$C$32, 7.6981, 7.6965) * CHOOSE(CONTROL!$C$15, $D$11, 100%, $F$11)</f>
        <v>7.6981000000000002</v>
      </c>
      <c r="D253" s="8">
        <f>CHOOSE( CONTROL!$C$32, 7.6954, 7.6937) * CHOOSE( CONTROL!$C$15, $D$11, 100%, $F$11)</f>
        <v>7.6954000000000002</v>
      </c>
      <c r="E253" s="12">
        <f>CHOOSE( CONTROL!$C$32, 7.6952, 7.6935) * CHOOSE( CONTROL!$C$15, $D$11, 100%, $F$11)</f>
        <v>7.6951999999999998</v>
      </c>
      <c r="F253" s="4">
        <f>CHOOSE( CONTROL!$C$32, 8.3971, 8.3954) * CHOOSE(CONTROL!$C$15, $D$11, 100%, $F$11)</f>
        <v>8.3971</v>
      </c>
      <c r="G253" s="8">
        <f>CHOOSE( CONTROL!$C$32, 7.6103, 7.6087) * CHOOSE( CONTROL!$C$15, $D$11, 100%, $F$11)</f>
        <v>7.6102999999999996</v>
      </c>
      <c r="H253" s="4">
        <f>CHOOSE( CONTROL!$C$32, 8.5454, 8.5438) * CHOOSE(CONTROL!$C$15, $D$11, 100%, $F$11)</f>
        <v>8.5454000000000008</v>
      </c>
      <c r="I253" s="8">
        <f>CHOOSE( CONTROL!$C$32, 7.5745, 7.5729) * CHOOSE(CONTROL!$C$15, $D$11, 100%, $F$11)</f>
        <v>7.5744999999999996</v>
      </c>
      <c r="J253" s="4">
        <f>CHOOSE( CONTROL!$C$32, 7.4525, 7.4509) * CHOOSE(CONTROL!$C$15, $D$11, 100%, $F$11)</f>
        <v>7.4524999999999997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1.2509999999999999</v>
      </c>
      <c r="Q253" s="9">
        <v>29.780999999999999</v>
      </c>
      <c r="R253" s="9"/>
      <c r="S253" s="11"/>
    </row>
    <row r="254" spans="1:19" ht="15.75">
      <c r="A254" s="13">
        <v>48853</v>
      </c>
      <c r="B254" s="8">
        <f>CHOOSE( CONTROL!$C$32, 8.0289, 8.0278) * CHOOSE(CONTROL!$C$15, $D$11, 100%, $F$11)</f>
        <v>8.0289000000000001</v>
      </c>
      <c r="C254" s="8">
        <f>CHOOSE( CONTROL!$C$32, 8.0342, 8.0332) * CHOOSE(CONTROL!$C$15, $D$11, 100%, $F$11)</f>
        <v>8.0342000000000002</v>
      </c>
      <c r="D254" s="8">
        <f>CHOOSE( CONTROL!$C$32, 8.0371, 8.0361) * CHOOSE( CONTROL!$C$15, $D$11, 100%, $F$11)</f>
        <v>8.0371000000000006</v>
      </c>
      <c r="E254" s="12">
        <f>CHOOSE( CONTROL!$C$32, 8.0356, 8.0346) * CHOOSE( CONTROL!$C$15, $D$11, 100%, $F$11)</f>
        <v>8.0356000000000005</v>
      </c>
      <c r="F254" s="4">
        <f>CHOOSE( CONTROL!$C$32, 8.7376, 8.7365) * CHOOSE(CONTROL!$C$15, $D$11, 100%, $F$11)</f>
        <v>8.7376000000000005</v>
      </c>
      <c r="G254" s="8">
        <f>CHOOSE( CONTROL!$C$32, 7.947, 7.9459) * CHOOSE( CONTROL!$C$15, $D$11, 100%, $F$11)</f>
        <v>7.9470000000000001</v>
      </c>
      <c r="H254" s="4">
        <f>CHOOSE( CONTROL!$C$32, 8.8819, 8.8808) * CHOOSE(CONTROL!$C$15, $D$11, 100%, $F$11)</f>
        <v>8.8818999999999999</v>
      </c>
      <c r="I254" s="8">
        <f>CHOOSE( CONTROL!$C$32, 7.9059, 7.9048) * CHOOSE(CONTROL!$C$15, $D$11, 100%, $F$11)</f>
        <v>7.9058999999999999</v>
      </c>
      <c r="J254" s="4">
        <f>CHOOSE( CONTROL!$C$32, 7.7829, 7.7819) * CHOOSE(CONTROL!$C$15, $D$11, 100%, $F$11)</f>
        <v>7.7828999999999997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1.2927</v>
      </c>
      <c r="Q254" s="9">
        <v>30.773700000000002</v>
      </c>
      <c r="R254" s="9"/>
      <c r="S254" s="11"/>
    </row>
    <row r="255" spans="1:19" ht="15.75">
      <c r="A255" s="13">
        <v>48884</v>
      </c>
      <c r="B255" s="8">
        <f>CHOOSE( CONTROL!$C$32, 8.658, 8.6569) * CHOOSE(CONTROL!$C$15, $D$11, 100%, $F$11)</f>
        <v>8.6579999999999995</v>
      </c>
      <c r="C255" s="8">
        <f>CHOOSE( CONTROL!$C$32, 8.6631, 8.662) * CHOOSE(CONTROL!$C$15, $D$11, 100%, $F$11)</f>
        <v>8.6631</v>
      </c>
      <c r="D255" s="8">
        <f>CHOOSE( CONTROL!$C$32, 8.6453, 8.6442) * CHOOSE( CONTROL!$C$15, $D$11, 100%, $F$11)</f>
        <v>8.6453000000000007</v>
      </c>
      <c r="E255" s="12">
        <f>CHOOSE( CONTROL!$C$32, 8.6513, 8.6502) * CHOOSE( CONTROL!$C$15, $D$11, 100%, $F$11)</f>
        <v>8.6513000000000009</v>
      </c>
      <c r="F255" s="4">
        <f>CHOOSE( CONTROL!$C$32, 9.3233, 9.3222) * CHOOSE(CONTROL!$C$15, $D$11, 100%, $F$11)</f>
        <v>9.3232999999999997</v>
      </c>
      <c r="G255" s="8">
        <f>CHOOSE( CONTROL!$C$32, 8.5682, 8.5671) * CHOOSE( CONTROL!$C$15, $D$11, 100%, $F$11)</f>
        <v>8.5681999999999992</v>
      </c>
      <c r="H255" s="4">
        <f>CHOOSE( CONTROL!$C$32, 9.4608, 9.4597) * CHOOSE(CONTROL!$C$15, $D$11, 100%, $F$11)</f>
        <v>9.4608000000000008</v>
      </c>
      <c r="I255" s="8">
        <f>CHOOSE( CONTROL!$C$32, 8.5789, 8.5778) * CHOOSE(CONTROL!$C$15, $D$11, 100%, $F$11)</f>
        <v>8.5789000000000009</v>
      </c>
      <c r="J255" s="4">
        <f>CHOOSE( CONTROL!$C$32, 8.3939, 8.3928) * CHOOSE(CONTROL!$C$15, $D$11, 100%, $F$11)</f>
        <v>8.3939000000000004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29.780999999999999</v>
      </c>
      <c r="R255" s="9"/>
      <c r="S255" s="11"/>
    </row>
    <row r="256" spans="1:19" ht="15.75">
      <c r="A256" s="13">
        <v>48914</v>
      </c>
      <c r="B256" s="8">
        <f>CHOOSE( CONTROL!$C$32, 8.6423, 8.6412) * CHOOSE(CONTROL!$C$15, $D$11, 100%, $F$11)</f>
        <v>8.6423000000000005</v>
      </c>
      <c r="C256" s="8">
        <f>CHOOSE( CONTROL!$C$32, 8.6474, 8.6463) * CHOOSE(CONTROL!$C$15, $D$11, 100%, $F$11)</f>
        <v>8.6473999999999993</v>
      </c>
      <c r="D256" s="8">
        <f>CHOOSE( CONTROL!$C$32, 8.631, 8.6299) * CHOOSE( CONTROL!$C$15, $D$11, 100%, $F$11)</f>
        <v>8.6310000000000002</v>
      </c>
      <c r="E256" s="12">
        <f>CHOOSE( CONTROL!$C$32, 8.6365, 8.6354) * CHOOSE( CONTROL!$C$15, $D$11, 100%, $F$11)</f>
        <v>8.6364999999999998</v>
      </c>
      <c r="F256" s="4">
        <f>CHOOSE( CONTROL!$C$32, 9.3076, 9.3065) * CHOOSE(CONTROL!$C$15, $D$11, 100%, $F$11)</f>
        <v>9.3076000000000008</v>
      </c>
      <c r="G256" s="8">
        <f>CHOOSE( CONTROL!$C$32, 8.5537, 8.5526) * CHOOSE( CONTROL!$C$15, $D$11, 100%, $F$11)</f>
        <v>8.5536999999999992</v>
      </c>
      <c r="H256" s="4">
        <f>CHOOSE( CONTROL!$C$32, 9.4452, 9.4441) * CHOOSE(CONTROL!$C$15, $D$11, 100%, $F$11)</f>
        <v>9.4451999999999998</v>
      </c>
      <c r="I256" s="8">
        <f>CHOOSE( CONTROL!$C$32, 8.5681, 8.567) * CHOOSE(CONTROL!$C$15, $D$11, 100%, $F$11)</f>
        <v>8.5680999999999994</v>
      </c>
      <c r="J256" s="4">
        <f>CHOOSE( CONTROL!$C$32, 8.3786, 8.3775) * CHOOSE(CONTROL!$C$15, $D$11, 100%, $F$11)</f>
        <v>8.3786000000000005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30.773700000000002</v>
      </c>
      <c r="R256" s="9"/>
      <c r="S256" s="11"/>
    </row>
    <row r="257" spans="1:19" ht="15.75">
      <c r="A257" s="13">
        <v>48945</v>
      </c>
      <c r="B257" s="8">
        <f>CHOOSE( CONTROL!$C$32, 8.8626, 8.8615) * CHOOSE(CONTROL!$C$15, $D$11, 100%, $F$11)</f>
        <v>8.8626000000000005</v>
      </c>
      <c r="C257" s="8">
        <f>CHOOSE( CONTROL!$C$32, 8.8677, 8.8666) * CHOOSE(CONTROL!$C$15, $D$11, 100%, $F$11)</f>
        <v>8.8676999999999992</v>
      </c>
      <c r="D257" s="8">
        <f>CHOOSE( CONTROL!$C$32, 8.8464, 8.8453) * CHOOSE( CONTROL!$C$15, $D$11, 100%, $F$11)</f>
        <v>8.8463999999999992</v>
      </c>
      <c r="E257" s="12">
        <f>CHOOSE( CONTROL!$C$32, 8.8536, 8.8525) * CHOOSE( CONTROL!$C$15, $D$11, 100%, $F$11)</f>
        <v>8.8536000000000001</v>
      </c>
      <c r="F257" s="4">
        <f>CHOOSE( CONTROL!$C$32, 9.5279, 9.5268) * CHOOSE(CONTROL!$C$15, $D$11, 100%, $F$11)</f>
        <v>9.5279000000000007</v>
      </c>
      <c r="G257" s="8">
        <f>CHOOSE( CONTROL!$C$32, 8.7609, 8.7599) * CHOOSE( CONTROL!$C$15, $D$11, 100%, $F$11)</f>
        <v>8.7608999999999995</v>
      </c>
      <c r="H257" s="4">
        <f>CHOOSE( CONTROL!$C$32, 9.663, 9.6619) * CHOOSE(CONTROL!$C$15, $D$11, 100%, $F$11)</f>
        <v>9.6630000000000003</v>
      </c>
      <c r="I257" s="8">
        <f>CHOOSE( CONTROL!$C$32, 8.744, 8.743) * CHOOSE(CONTROL!$C$15, $D$11, 100%, $F$11)</f>
        <v>8.7439999999999998</v>
      </c>
      <c r="J257" s="4">
        <f>CHOOSE( CONTROL!$C$32, 8.5924, 8.5914) * CHOOSE(CONTROL!$C$15, $D$11, 100%, $F$11)</f>
        <v>8.5923999999999996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30.7105</v>
      </c>
      <c r="R257" s="9"/>
      <c r="S257" s="11"/>
    </row>
    <row r="258" spans="1:19" ht="15.75">
      <c r="A258" s="13">
        <v>48976</v>
      </c>
      <c r="B258" s="8">
        <f>CHOOSE( CONTROL!$C$32, 8.2903, 8.2892) * CHOOSE(CONTROL!$C$15, $D$11, 100%, $F$11)</f>
        <v>8.2903000000000002</v>
      </c>
      <c r="C258" s="8">
        <f>CHOOSE( CONTROL!$C$32, 8.2954, 8.2943) * CHOOSE(CONTROL!$C$15, $D$11, 100%, $F$11)</f>
        <v>8.2954000000000008</v>
      </c>
      <c r="D258" s="8">
        <f>CHOOSE( CONTROL!$C$32, 8.274, 8.2729) * CHOOSE( CONTROL!$C$15, $D$11, 100%, $F$11)</f>
        <v>8.2739999999999991</v>
      </c>
      <c r="E258" s="12">
        <f>CHOOSE( CONTROL!$C$32, 8.2813, 8.2802) * CHOOSE( CONTROL!$C$15, $D$11, 100%, $F$11)</f>
        <v>8.2812999999999999</v>
      </c>
      <c r="F258" s="4">
        <f>CHOOSE( CONTROL!$C$32, 8.9556, 8.9545) * CHOOSE(CONTROL!$C$15, $D$11, 100%, $F$11)</f>
        <v>8.9556000000000004</v>
      </c>
      <c r="G258" s="8">
        <f>CHOOSE( CONTROL!$C$32, 8.1953, 8.1942) * CHOOSE( CONTROL!$C$15, $D$11, 100%, $F$11)</f>
        <v>8.1952999999999996</v>
      </c>
      <c r="H258" s="4">
        <f>CHOOSE( CONTROL!$C$32, 9.0974, 9.0963) * CHOOSE(CONTROL!$C$15, $D$11, 100%, $F$11)</f>
        <v>9.0974000000000004</v>
      </c>
      <c r="I258" s="8">
        <f>CHOOSE( CONTROL!$C$32, 8.1879, 8.1869) * CHOOSE(CONTROL!$C$15, $D$11, 100%, $F$11)</f>
        <v>8.1879000000000008</v>
      </c>
      <c r="J258" s="4">
        <f>CHOOSE( CONTROL!$C$32, 8.037, 8.0359) * CHOOSE(CONTROL!$C$15, $D$11, 100%, $F$11)</f>
        <v>8.0370000000000008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27.738499999999998</v>
      </c>
      <c r="R258" s="9"/>
      <c r="S258" s="11"/>
    </row>
    <row r="259" spans="1:19" ht="15.75">
      <c r="A259" s="13">
        <v>49004</v>
      </c>
      <c r="B259" s="8">
        <f>CHOOSE( CONTROL!$C$32, 8.114, 8.113) * CHOOSE(CONTROL!$C$15, $D$11, 100%, $F$11)</f>
        <v>8.1140000000000008</v>
      </c>
      <c r="C259" s="8">
        <f>CHOOSE( CONTROL!$C$32, 8.1191, 8.118) * CHOOSE(CONTROL!$C$15, $D$11, 100%, $F$11)</f>
        <v>8.1190999999999995</v>
      </c>
      <c r="D259" s="8">
        <f>CHOOSE( CONTROL!$C$32, 8.0971, 8.096) * CHOOSE( CONTROL!$C$15, $D$11, 100%, $F$11)</f>
        <v>8.0970999999999993</v>
      </c>
      <c r="E259" s="12">
        <f>CHOOSE( CONTROL!$C$32, 8.1046, 8.1035) * CHOOSE( CONTROL!$C$15, $D$11, 100%, $F$11)</f>
        <v>8.1045999999999996</v>
      </c>
      <c r="F259" s="4">
        <f>CHOOSE( CONTROL!$C$32, 8.7793, 8.7782) * CHOOSE(CONTROL!$C$15, $D$11, 100%, $F$11)</f>
        <v>8.7792999999999992</v>
      </c>
      <c r="G259" s="8">
        <f>CHOOSE( CONTROL!$C$32, 8.0206, 8.0195) * CHOOSE( CONTROL!$C$15, $D$11, 100%, $F$11)</f>
        <v>8.0206</v>
      </c>
      <c r="H259" s="4">
        <f>CHOOSE( CONTROL!$C$32, 8.9232, 8.9221) * CHOOSE(CONTROL!$C$15, $D$11, 100%, $F$11)</f>
        <v>8.9231999999999996</v>
      </c>
      <c r="I259" s="8">
        <f>CHOOSE( CONTROL!$C$32, 8.0148, 8.0138) * CHOOSE(CONTROL!$C$15, $D$11, 100%, $F$11)</f>
        <v>8.0147999999999993</v>
      </c>
      <c r="J259" s="4">
        <f>CHOOSE( CONTROL!$C$32, 7.8659, 7.8649) * CHOOSE(CONTROL!$C$15, $D$11, 100%, $F$11)</f>
        <v>7.8658999999999999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30.7105</v>
      </c>
      <c r="R259" s="9"/>
      <c r="S259" s="11"/>
    </row>
    <row r="260" spans="1:19" ht="15.75">
      <c r="A260" s="13">
        <v>49035</v>
      </c>
      <c r="B260" s="8">
        <f>CHOOSE( CONTROL!$C$32, 8.238, 8.2369) * CHOOSE(CONTROL!$C$15, $D$11, 100%, $F$11)</f>
        <v>8.2379999999999995</v>
      </c>
      <c r="C260" s="8">
        <f>CHOOSE( CONTROL!$C$32, 8.2425, 8.2414) * CHOOSE(CONTROL!$C$15, $D$11, 100%, $F$11)</f>
        <v>8.2424999999999997</v>
      </c>
      <c r="D260" s="8">
        <f>CHOOSE( CONTROL!$C$32, 8.2453, 8.2443) * CHOOSE( CONTROL!$C$15, $D$11, 100%, $F$11)</f>
        <v>8.2453000000000003</v>
      </c>
      <c r="E260" s="12">
        <f>CHOOSE( CONTROL!$C$32, 8.2439, 8.2428) * CHOOSE( CONTROL!$C$15, $D$11, 100%, $F$11)</f>
        <v>8.2439</v>
      </c>
      <c r="F260" s="4">
        <f>CHOOSE( CONTROL!$C$32, 8.9463, 8.9452) * CHOOSE(CONTROL!$C$15, $D$11, 100%, $F$11)</f>
        <v>8.9463000000000008</v>
      </c>
      <c r="G260" s="8">
        <f>CHOOSE( CONTROL!$C$32, 8.1528, 8.1517) * CHOOSE( CONTROL!$C$15, $D$11, 100%, $F$11)</f>
        <v>8.1527999999999992</v>
      </c>
      <c r="H260" s="4">
        <f>CHOOSE( CONTROL!$C$32, 9.0882, 9.0871) * CHOOSE(CONTROL!$C$15, $D$11, 100%, $F$11)</f>
        <v>9.0882000000000005</v>
      </c>
      <c r="I260" s="8">
        <f>CHOOSE( CONTROL!$C$32, 8.1067, 8.1056) * CHOOSE(CONTROL!$C$15, $D$11, 100%, $F$11)</f>
        <v>8.1067</v>
      </c>
      <c r="J260" s="4">
        <f>CHOOSE( CONTROL!$C$32, 7.9855, 7.9844) * CHOOSE(CONTROL!$C$15, $D$11, 100%, $F$11)</f>
        <v>7.9855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1.2509999999999999</v>
      </c>
      <c r="Q260" s="9">
        <v>29.719799999999999</v>
      </c>
      <c r="R260" s="9"/>
      <c r="S260" s="11"/>
    </row>
    <row r="261" spans="1:19" ht="15.75">
      <c r="A261" s="13">
        <v>49065</v>
      </c>
      <c r="B261" s="8">
        <f>CHOOSE( CONTROL!$C$32, 8.4591, 8.4575) * CHOOSE(CONTROL!$C$15, $D$11, 100%, $F$11)</f>
        <v>8.4590999999999994</v>
      </c>
      <c r="C261" s="8">
        <f>CHOOSE( CONTROL!$C$32, 8.4671, 8.4655) * CHOOSE(CONTROL!$C$15, $D$11, 100%, $F$11)</f>
        <v>8.4671000000000003</v>
      </c>
      <c r="D261" s="8">
        <f>CHOOSE( CONTROL!$C$32, 8.4639, 8.4622) * CHOOSE( CONTROL!$C$15, $D$11, 100%, $F$11)</f>
        <v>8.4639000000000006</v>
      </c>
      <c r="E261" s="12">
        <f>CHOOSE( CONTROL!$C$32, 8.4638, 8.4622) * CHOOSE( CONTROL!$C$15, $D$11, 100%, $F$11)</f>
        <v>8.4638000000000009</v>
      </c>
      <c r="F261" s="4">
        <f>CHOOSE( CONTROL!$C$32, 9.1661, 9.1644) * CHOOSE(CONTROL!$C$15, $D$11, 100%, $F$11)</f>
        <v>9.1661000000000001</v>
      </c>
      <c r="G261" s="8">
        <f>CHOOSE( CONTROL!$C$32, 8.3699, 8.3682) * CHOOSE( CONTROL!$C$15, $D$11, 100%, $F$11)</f>
        <v>8.3698999999999995</v>
      </c>
      <c r="H261" s="4">
        <f>CHOOSE( CONTROL!$C$32, 9.3054, 9.3037) * CHOOSE(CONTROL!$C$15, $D$11, 100%, $F$11)</f>
        <v>9.3054000000000006</v>
      </c>
      <c r="I261" s="8">
        <f>CHOOSE( CONTROL!$C$32, 8.3194, 8.3177) * CHOOSE(CONTROL!$C$15, $D$11, 100%, $F$11)</f>
        <v>8.3193999999999999</v>
      </c>
      <c r="J261" s="4">
        <f>CHOOSE( CONTROL!$C$32, 8.1988, 8.1972) * CHOOSE(CONTROL!$C$15, $D$11, 100%, $F$11)</f>
        <v>8.1988000000000003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1.2927</v>
      </c>
      <c r="Q261" s="9">
        <v>30.7105</v>
      </c>
      <c r="R261" s="9"/>
      <c r="S261" s="11"/>
    </row>
    <row r="262" spans="1:19" ht="15.75">
      <c r="A262" s="13">
        <v>49096</v>
      </c>
      <c r="B262" s="8">
        <f>CHOOSE( CONTROL!$C$32, 8.3233, 8.3217) * CHOOSE(CONTROL!$C$15, $D$11, 100%, $F$11)</f>
        <v>8.3232999999999997</v>
      </c>
      <c r="C262" s="8">
        <f>CHOOSE( CONTROL!$C$32, 8.3313, 8.3297) * CHOOSE(CONTROL!$C$15, $D$11, 100%, $F$11)</f>
        <v>8.3313000000000006</v>
      </c>
      <c r="D262" s="8">
        <f>CHOOSE( CONTROL!$C$32, 8.3283, 8.3266) * CHOOSE( CONTROL!$C$15, $D$11, 100%, $F$11)</f>
        <v>8.3283000000000005</v>
      </c>
      <c r="E262" s="12">
        <f>CHOOSE( CONTROL!$C$32, 8.3282, 8.3265) * CHOOSE( CONTROL!$C$15, $D$11, 100%, $F$11)</f>
        <v>8.3282000000000007</v>
      </c>
      <c r="F262" s="4">
        <f>CHOOSE( CONTROL!$C$32, 9.0303, 9.0286) * CHOOSE(CONTROL!$C$15, $D$11, 100%, $F$11)</f>
        <v>9.0303000000000004</v>
      </c>
      <c r="G262" s="8">
        <f>CHOOSE( CONTROL!$C$32, 8.2359, 8.2342) * CHOOSE( CONTROL!$C$15, $D$11, 100%, $F$11)</f>
        <v>8.2359000000000009</v>
      </c>
      <c r="H262" s="4">
        <f>CHOOSE( CONTROL!$C$32, 9.1712, 9.1695) * CHOOSE(CONTROL!$C$15, $D$11, 100%, $F$11)</f>
        <v>9.1712000000000007</v>
      </c>
      <c r="I262" s="8">
        <f>CHOOSE( CONTROL!$C$32, 8.1883, 8.1867) * CHOOSE(CONTROL!$C$15, $D$11, 100%, $F$11)</f>
        <v>8.1882999999999999</v>
      </c>
      <c r="J262" s="4">
        <f>CHOOSE( CONTROL!$C$32, 8.067, 8.0654) * CHOOSE(CONTROL!$C$15, $D$11, 100%, $F$11)</f>
        <v>8.0670000000000002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1.2509999999999999</v>
      </c>
      <c r="Q262" s="9">
        <v>29.719799999999999</v>
      </c>
      <c r="R262" s="9"/>
      <c r="S262" s="11"/>
    </row>
    <row r="263" spans="1:19" ht="15.75">
      <c r="A263" s="13">
        <v>49126</v>
      </c>
      <c r="B263" s="8">
        <f>CHOOSE( CONTROL!$C$32, 8.6809, 8.6793) * CHOOSE(CONTROL!$C$15, $D$11, 100%, $F$11)</f>
        <v>8.6808999999999994</v>
      </c>
      <c r="C263" s="8">
        <f>CHOOSE( CONTROL!$C$32, 8.6889, 8.6873) * CHOOSE(CONTROL!$C$15, $D$11, 100%, $F$11)</f>
        <v>8.6889000000000003</v>
      </c>
      <c r="D263" s="8">
        <f>CHOOSE( CONTROL!$C$32, 8.6861, 8.6845) * CHOOSE( CONTROL!$C$15, $D$11, 100%, $F$11)</f>
        <v>8.6860999999999997</v>
      </c>
      <c r="E263" s="12">
        <f>CHOOSE( CONTROL!$C$32, 8.6859, 8.6843) * CHOOSE( CONTROL!$C$15, $D$11, 100%, $F$11)</f>
        <v>8.6859000000000002</v>
      </c>
      <c r="F263" s="4">
        <f>CHOOSE( CONTROL!$C$32, 9.3879, 9.3862) * CHOOSE(CONTROL!$C$15, $D$11, 100%, $F$11)</f>
        <v>9.3879000000000001</v>
      </c>
      <c r="G263" s="8">
        <f>CHOOSE( CONTROL!$C$32, 8.5895, 8.5878) * CHOOSE( CONTROL!$C$15, $D$11, 100%, $F$11)</f>
        <v>8.5894999999999992</v>
      </c>
      <c r="H263" s="4">
        <f>CHOOSE( CONTROL!$C$32, 9.5246, 9.523) * CHOOSE(CONTROL!$C$15, $D$11, 100%, $F$11)</f>
        <v>9.5245999999999995</v>
      </c>
      <c r="I263" s="8">
        <f>CHOOSE( CONTROL!$C$32, 8.5363, 8.5347) * CHOOSE(CONTROL!$C$15, $D$11, 100%, $F$11)</f>
        <v>8.5363000000000007</v>
      </c>
      <c r="J263" s="4">
        <f>CHOOSE( CONTROL!$C$32, 8.414, 8.4124) * CHOOSE(CONTROL!$C$15, $D$11, 100%, $F$11)</f>
        <v>8.4139999999999997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1.2927</v>
      </c>
      <c r="Q263" s="9">
        <v>30.7105</v>
      </c>
      <c r="R263" s="9"/>
      <c r="S263" s="11"/>
    </row>
    <row r="264" spans="1:19" ht="15.75">
      <c r="A264" s="13">
        <v>49157</v>
      </c>
      <c r="B264" s="8">
        <f>CHOOSE( CONTROL!$C$32, 8.0118, 8.0102) * CHOOSE(CONTROL!$C$15, $D$11, 100%, $F$11)</f>
        <v>8.0117999999999991</v>
      </c>
      <c r="C264" s="8">
        <f>CHOOSE( CONTROL!$C$32, 8.0198, 8.0181) * CHOOSE(CONTROL!$C$15, $D$11, 100%, $F$11)</f>
        <v>8.0198</v>
      </c>
      <c r="D264" s="8">
        <f>CHOOSE( CONTROL!$C$32, 8.0171, 8.0155) * CHOOSE( CONTROL!$C$15, $D$11, 100%, $F$11)</f>
        <v>8.0170999999999992</v>
      </c>
      <c r="E264" s="12">
        <f>CHOOSE( CONTROL!$C$32, 8.0169, 8.0152) * CHOOSE( CONTROL!$C$15, $D$11, 100%, $F$11)</f>
        <v>8.0168999999999997</v>
      </c>
      <c r="F264" s="4">
        <f>CHOOSE( CONTROL!$C$32, 8.7188, 8.7171) * CHOOSE(CONTROL!$C$15, $D$11, 100%, $F$11)</f>
        <v>8.7187999999999999</v>
      </c>
      <c r="G264" s="8">
        <f>CHOOSE( CONTROL!$C$32, 7.9283, 7.9266) * CHOOSE( CONTROL!$C$15, $D$11, 100%, $F$11)</f>
        <v>7.9283000000000001</v>
      </c>
      <c r="H264" s="4">
        <f>CHOOSE( CONTROL!$C$32, 8.8633, 8.8617) * CHOOSE(CONTROL!$C$15, $D$11, 100%, $F$11)</f>
        <v>8.8633000000000006</v>
      </c>
      <c r="I264" s="8">
        <f>CHOOSE( CONTROL!$C$32, 7.887, 7.8854) * CHOOSE(CONTROL!$C$15, $D$11, 100%, $F$11)</f>
        <v>7.8869999999999996</v>
      </c>
      <c r="J264" s="4">
        <f>CHOOSE( CONTROL!$C$32, 7.7647, 7.7631) * CHOOSE(CONTROL!$C$15, $D$11, 100%, $F$11)</f>
        <v>7.7647000000000004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1.2927</v>
      </c>
      <c r="Q264" s="9">
        <v>30.7105</v>
      </c>
      <c r="R264" s="9"/>
      <c r="S264" s="11"/>
    </row>
    <row r="265" spans="1:19" ht="15.75">
      <c r="A265" s="13">
        <v>49188</v>
      </c>
      <c r="B265" s="8">
        <f>CHOOSE( CONTROL!$C$32, 7.8443, 7.8426) * CHOOSE(CONTROL!$C$15, $D$11, 100%, $F$11)</f>
        <v>7.8442999999999996</v>
      </c>
      <c r="C265" s="8">
        <f>CHOOSE( CONTROL!$C$32, 7.8523, 7.8506) * CHOOSE(CONTROL!$C$15, $D$11, 100%, $F$11)</f>
        <v>7.8522999999999996</v>
      </c>
      <c r="D265" s="8">
        <f>CHOOSE( CONTROL!$C$32, 7.8495, 7.8478) * CHOOSE( CONTROL!$C$15, $D$11, 100%, $F$11)</f>
        <v>7.8494999999999999</v>
      </c>
      <c r="E265" s="12">
        <f>CHOOSE( CONTROL!$C$32, 7.8493, 7.8476) * CHOOSE( CONTROL!$C$15, $D$11, 100%, $F$11)</f>
        <v>7.8493000000000004</v>
      </c>
      <c r="F265" s="4">
        <f>CHOOSE( CONTROL!$C$32, 8.5512, 8.5496) * CHOOSE(CONTROL!$C$15, $D$11, 100%, $F$11)</f>
        <v>8.5511999999999997</v>
      </c>
      <c r="G265" s="8">
        <f>CHOOSE( CONTROL!$C$32, 7.7626, 7.761) * CHOOSE( CONTROL!$C$15, $D$11, 100%, $F$11)</f>
        <v>7.7625999999999999</v>
      </c>
      <c r="H265" s="4">
        <f>CHOOSE( CONTROL!$C$32, 8.6977, 8.6961) * CHOOSE(CONTROL!$C$15, $D$11, 100%, $F$11)</f>
        <v>8.6976999999999993</v>
      </c>
      <c r="I265" s="8">
        <f>CHOOSE( CONTROL!$C$32, 7.7241, 7.7225) * CHOOSE(CONTROL!$C$15, $D$11, 100%, $F$11)</f>
        <v>7.7241</v>
      </c>
      <c r="J265" s="4">
        <f>CHOOSE( CONTROL!$C$32, 7.602, 7.6004) * CHOOSE(CONTROL!$C$15, $D$11, 100%, $F$11)</f>
        <v>7.6020000000000003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1.2509999999999999</v>
      </c>
      <c r="Q265" s="9">
        <v>29.719799999999999</v>
      </c>
      <c r="R265" s="9"/>
      <c r="S265" s="11"/>
    </row>
    <row r="266" spans="1:19" ht="15.75">
      <c r="A266" s="13">
        <v>49218</v>
      </c>
      <c r="B266" s="8">
        <f>CHOOSE( CONTROL!$C$32, 8.1899, 8.1888) * CHOOSE(CONTROL!$C$15, $D$11, 100%, $F$11)</f>
        <v>8.1898999999999997</v>
      </c>
      <c r="C266" s="8">
        <f>CHOOSE( CONTROL!$C$32, 8.1952, 8.1941) * CHOOSE(CONTROL!$C$15, $D$11, 100%, $F$11)</f>
        <v>8.1951999999999998</v>
      </c>
      <c r="D266" s="8">
        <f>CHOOSE( CONTROL!$C$32, 8.1981, 8.197) * CHOOSE( CONTROL!$C$15, $D$11, 100%, $F$11)</f>
        <v>8.1981000000000002</v>
      </c>
      <c r="E266" s="12">
        <f>CHOOSE( CONTROL!$C$32, 8.1966, 8.1955) * CHOOSE( CONTROL!$C$15, $D$11, 100%, $F$11)</f>
        <v>8.1966000000000001</v>
      </c>
      <c r="F266" s="4">
        <f>CHOOSE( CONTROL!$C$32, 8.8985, 8.8975) * CHOOSE(CONTROL!$C$15, $D$11, 100%, $F$11)</f>
        <v>8.8985000000000003</v>
      </c>
      <c r="G266" s="8">
        <f>CHOOSE( CONTROL!$C$32, 8.106, 8.105) * CHOOSE( CONTROL!$C$15, $D$11, 100%, $F$11)</f>
        <v>8.1059999999999999</v>
      </c>
      <c r="H266" s="4">
        <f>CHOOSE( CONTROL!$C$32, 9.041, 9.0399) * CHOOSE(CONTROL!$C$15, $D$11, 100%, $F$11)</f>
        <v>9.0410000000000004</v>
      </c>
      <c r="I266" s="8">
        <f>CHOOSE( CONTROL!$C$32, 8.0622, 8.0611) * CHOOSE(CONTROL!$C$15, $D$11, 100%, $F$11)</f>
        <v>8.0622000000000007</v>
      </c>
      <c r="J266" s="4">
        <f>CHOOSE( CONTROL!$C$32, 7.9391, 7.9381) * CHOOSE(CONTROL!$C$15, $D$11, 100%, $F$11)</f>
        <v>7.9390999999999998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1.2927</v>
      </c>
      <c r="Q266" s="9">
        <v>30.7105</v>
      </c>
      <c r="R266" s="9"/>
      <c r="S266" s="11"/>
    </row>
    <row r="267" spans="1:19" ht="15.75">
      <c r="A267" s="13">
        <v>49249</v>
      </c>
      <c r="B267" s="8">
        <f>CHOOSE( CONTROL!$C$32, 8.8316, 8.8305) * CHOOSE(CONTROL!$C$15, $D$11, 100%, $F$11)</f>
        <v>8.8315999999999999</v>
      </c>
      <c r="C267" s="8">
        <f>CHOOSE( CONTROL!$C$32, 8.8367, 8.8356) * CHOOSE(CONTROL!$C$15, $D$11, 100%, $F$11)</f>
        <v>8.8367000000000004</v>
      </c>
      <c r="D267" s="8">
        <f>CHOOSE( CONTROL!$C$32, 8.8189, 8.8178) * CHOOSE( CONTROL!$C$15, $D$11, 100%, $F$11)</f>
        <v>8.8188999999999993</v>
      </c>
      <c r="E267" s="12">
        <f>CHOOSE( CONTROL!$C$32, 8.8249, 8.8238) * CHOOSE( CONTROL!$C$15, $D$11, 100%, $F$11)</f>
        <v>8.8248999999999995</v>
      </c>
      <c r="F267" s="4">
        <f>CHOOSE( CONTROL!$C$32, 9.4969, 9.4958) * CHOOSE(CONTROL!$C$15, $D$11, 100%, $F$11)</f>
        <v>9.4969000000000001</v>
      </c>
      <c r="G267" s="8">
        <f>CHOOSE( CONTROL!$C$32, 8.7398, 8.7387) * CHOOSE( CONTROL!$C$15, $D$11, 100%, $F$11)</f>
        <v>8.7398000000000007</v>
      </c>
      <c r="H267" s="4">
        <f>CHOOSE( CONTROL!$C$32, 9.6323, 9.6313) * CHOOSE(CONTROL!$C$15, $D$11, 100%, $F$11)</f>
        <v>9.6323000000000008</v>
      </c>
      <c r="I267" s="8">
        <f>CHOOSE( CONTROL!$C$32, 8.7474, 8.7464) * CHOOSE(CONTROL!$C$15, $D$11, 100%, $F$11)</f>
        <v>8.7474000000000007</v>
      </c>
      <c r="J267" s="4">
        <f>CHOOSE( CONTROL!$C$32, 8.5623, 8.5613) * CHOOSE(CONTROL!$C$15, $D$11, 100%, $F$11)</f>
        <v>8.5623000000000005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29.719799999999999</v>
      </c>
      <c r="R267" s="9"/>
      <c r="S267" s="11"/>
    </row>
    <row r="268" spans="1:19" ht="15.75">
      <c r="A268" s="13">
        <v>49279</v>
      </c>
      <c r="B268" s="8">
        <f>CHOOSE( CONTROL!$C$32, 8.8156, 8.8145) * CHOOSE(CONTROL!$C$15, $D$11, 100%, $F$11)</f>
        <v>8.8155999999999999</v>
      </c>
      <c r="C268" s="8">
        <f>CHOOSE( CONTROL!$C$32, 8.8207, 8.8196) * CHOOSE(CONTROL!$C$15, $D$11, 100%, $F$11)</f>
        <v>8.8207000000000004</v>
      </c>
      <c r="D268" s="8">
        <f>CHOOSE( CONTROL!$C$32, 8.8043, 8.8032) * CHOOSE( CONTROL!$C$15, $D$11, 100%, $F$11)</f>
        <v>8.8042999999999996</v>
      </c>
      <c r="E268" s="12">
        <f>CHOOSE( CONTROL!$C$32, 8.8098, 8.8087) * CHOOSE( CONTROL!$C$15, $D$11, 100%, $F$11)</f>
        <v>8.8097999999999992</v>
      </c>
      <c r="F268" s="4">
        <f>CHOOSE( CONTROL!$C$32, 9.4809, 9.4798) * CHOOSE(CONTROL!$C$15, $D$11, 100%, $F$11)</f>
        <v>9.4809000000000001</v>
      </c>
      <c r="G268" s="8">
        <f>CHOOSE( CONTROL!$C$32, 8.725, 8.7239) * CHOOSE( CONTROL!$C$15, $D$11, 100%, $F$11)</f>
        <v>8.7249999999999996</v>
      </c>
      <c r="H268" s="4">
        <f>CHOOSE( CONTROL!$C$32, 9.6165, 9.6154) * CHOOSE(CONTROL!$C$15, $D$11, 100%, $F$11)</f>
        <v>9.6165000000000003</v>
      </c>
      <c r="I268" s="8">
        <f>CHOOSE( CONTROL!$C$32, 8.7363, 8.7353) * CHOOSE(CONTROL!$C$15, $D$11, 100%, $F$11)</f>
        <v>8.7363</v>
      </c>
      <c r="J268" s="4">
        <f>CHOOSE( CONTROL!$C$32, 8.5468, 8.5457) * CHOOSE(CONTROL!$C$15, $D$11, 100%, $F$11)</f>
        <v>8.5467999999999993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30.7105</v>
      </c>
      <c r="R268" s="9"/>
      <c r="S268" s="11"/>
    </row>
    <row r="269" spans="1:19" ht="15.75">
      <c r="A269" s="13">
        <v>49310</v>
      </c>
      <c r="B269" s="8">
        <f>CHOOSE( CONTROL!$C$32, 9.0368, 9.0358) * CHOOSE(CONTROL!$C$15, $D$11, 100%, $F$11)</f>
        <v>9.0367999999999995</v>
      </c>
      <c r="C269" s="8">
        <f>CHOOSE( CONTROL!$C$32, 9.0419, 9.0408) * CHOOSE(CONTROL!$C$15, $D$11, 100%, $F$11)</f>
        <v>9.0419</v>
      </c>
      <c r="D269" s="8">
        <f>CHOOSE( CONTROL!$C$32, 9.0206, 9.0195) * CHOOSE( CONTROL!$C$15, $D$11, 100%, $F$11)</f>
        <v>9.0206</v>
      </c>
      <c r="E269" s="12">
        <f>CHOOSE( CONTROL!$C$32, 9.0278, 9.0268) * CHOOSE( CONTROL!$C$15, $D$11, 100%, $F$11)</f>
        <v>9.0277999999999992</v>
      </c>
      <c r="F269" s="4">
        <f>CHOOSE( CONTROL!$C$32, 9.7021, 9.701) * CHOOSE(CONTROL!$C$15, $D$11, 100%, $F$11)</f>
        <v>9.7020999999999997</v>
      </c>
      <c r="G269" s="8">
        <f>CHOOSE( CONTROL!$C$32, 8.9331, 8.9321) * CHOOSE( CONTROL!$C$15, $D$11, 100%, $F$11)</f>
        <v>8.9330999999999996</v>
      </c>
      <c r="H269" s="4">
        <f>CHOOSE( CONTROL!$C$32, 9.8351, 9.8341) * CHOOSE(CONTROL!$C$15, $D$11, 100%, $F$11)</f>
        <v>9.8351000000000006</v>
      </c>
      <c r="I269" s="8">
        <f>CHOOSE( CONTROL!$C$32, 8.9132, 8.9122) * CHOOSE(CONTROL!$C$15, $D$11, 100%, $F$11)</f>
        <v>8.9131999999999998</v>
      </c>
      <c r="J269" s="4">
        <f>CHOOSE( CONTROL!$C$32, 8.7615, 8.7604) * CHOOSE(CONTROL!$C$15, $D$11, 100%, $F$11)</f>
        <v>8.7614999999999998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30.645399999999999</v>
      </c>
      <c r="R269" s="9"/>
      <c r="S269" s="11"/>
    </row>
    <row r="270" spans="1:19" ht="15.75">
      <c r="A270" s="13">
        <v>49341</v>
      </c>
      <c r="B270" s="8">
        <f>CHOOSE( CONTROL!$C$32, 8.4533, 8.4522) * CHOOSE(CONTROL!$C$15, $D$11, 100%, $F$11)</f>
        <v>8.4533000000000005</v>
      </c>
      <c r="C270" s="8">
        <f>CHOOSE( CONTROL!$C$32, 8.4583, 8.4573) * CHOOSE(CONTROL!$C$15, $D$11, 100%, $F$11)</f>
        <v>8.4582999999999995</v>
      </c>
      <c r="D270" s="8">
        <f>CHOOSE( CONTROL!$C$32, 8.4369, 8.4358) * CHOOSE( CONTROL!$C$15, $D$11, 100%, $F$11)</f>
        <v>8.4368999999999996</v>
      </c>
      <c r="E270" s="12">
        <f>CHOOSE( CONTROL!$C$32, 8.4442, 8.4431) * CHOOSE( CONTROL!$C$15, $D$11, 100%, $F$11)</f>
        <v>8.4442000000000004</v>
      </c>
      <c r="F270" s="4">
        <f>CHOOSE( CONTROL!$C$32, 9.1186, 9.1175) * CHOOSE(CONTROL!$C$15, $D$11, 100%, $F$11)</f>
        <v>9.1186000000000007</v>
      </c>
      <c r="G270" s="8">
        <f>CHOOSE( CONTROL!$C$32, 8.3563, 8.3552) * CHOOSE( CONTROL!$C$15, $D$11, 100%, $F$11)</f>
        <v>8.3562999999999992</v>
      </c>
      <c r="H270" s="4">
        <f>CHOOSE( CONTROL!$C$32, 9.2584, 9.2573) * CHOOSE(CONTROL!$C$15, $D$11, 100%, $F$11)</f>
        <v>9.2584</v>
      </c>
      <c r="I270" s="8">
        <f>CHOOSE( CONTROL!$C$32, 8.3462, 8.3451) * CHOOSE(CONTROL!$C$15, $D$11, 100%, $F$11)</f>
        <v>8.3461999999999996</v>
      </c>
      <c r="J270" s="4">
        <f>CHOOSE( CONTROL!$C$32, 8.1951, 8.1941) * CHOOSE(CONTROL!$C$15, $D$11, 100%, $F$11)</f>
        <v>8.1951000000000001</v>
      </c>
      <c r="K270" s="4"/>
      <c r="L270" s="9">
        <v>26.469899999999999</v>
      </c>
      <c r="M270" s="9">
        <v>10.8962</v>
      </c>
      <c r="N270" s="9">
        <v>4.4660000000000002</v>
      </c>
      <c r="O270" s="9">
        <v>0.33789999999999998</v>
      </c>
      <c r="P270" s="9">
        <v>1.1676</v>
      </c>
      <c r="Q270" s="9">
        <v>27.6797</v>
      </c>
      <c r="R270" s="9"/>
      <c r="S270" s="11"/>
    </row>
    <row r="271" spans="1:19" ht="15.75">
      <c r="A271" s="13">
        <v>49369</v>
      </c>
      <c r="B271" s="8">
        <f>CHOOSE( CONTROL!$C$32, 8.2735, 8.2725) * CHOOSE(CONTROL!$C$15, $D$11, 100%, $F$11)</f>
        <v>8.2735000000000003</v>
      </c>
      <c r="C271" s="8">
        <f>CHOOSE( CONTROL!$C$32, 8.2786, 8.2775) * CHOOSE(CONTROL!$C$15, $D$11, 100%, $F$11)</f>
        <v>8.2786000000000008</v>
      </c>
      <c r="D271" s="8">
        <f>CHOOSE( CONTROL!$C$32, 8.2566, 8.2555) * CHOOSE( CONTROL!$C$15, $D$11, 100%, $F$11)</f>
        <v>8.2566000000000006</v>
      </c>
      <c r="E271" s="12">
        <f>CHOOSE( CONTROL!$C$32, 8.2641, 8.263) * CHOOSE( CONTROL!$C$15, $D$11, 100%, $F$11)</f>
        <v>8.2640999999999991</v>
      </c>
      <c r="F271" s="4">
        <f>CHOOSE( CONTROL!$C$32, 8.9388, 8.9377) * CHOOSE(CONTROL!$C$15, $D$11, 100%, $F$11)</f>
        <v>8.9388000000000005</v>
      </c>
      <c r="G271" s="8">
        <f>CHOOSE( CONTROL!$C$32, 8.1782, 8.1771) * CHOOSE( CONTROL!$C$15, $D$11, 100%, $F$11)</f>
        <v>8.1782000000000004</v>
      </c>
      <c r="H271" s="4">
        <f>CHOOSE( CONTROL!$C$32, 9.0808, 9.0797) * CHOOSE(CONTROL!$C$15, $D$11, 100%, $F$11)</f>
        <v>9.0808</v>
      </c>
      <c r="I271" s="8">
        <f>CHOOSE( CONTROL!$C$32, 8.1697, 8.1686) * CHOOSE(CONTROL!$C$15, $D$11, 100%, $F$11)</f>
        <v>8.1697000000000006</v>
      </c>
      <c r="J271" s="4">
        <f>CHOOSE( CONTROL!$C$32, 8.0207, 8.0197) * CHOOSE(CONTROL!$C$15, $D$11, 100%, $F$11)</f>
        <v>8.0206999999999997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30.645399999999999</v>
      </c>
      <c r="R271" s="9"/>
      <c r="S271" s="11"/>
    </row>
    <row r="272" spans="1:19" ht="15.75">
      <c r="A272" s="13">
        <v>49400</v>
      </c>
      <c r="B272" s="8">
        <f>CHOOSE( CONTROL!$C$32, 8.3999, 8.3988) * CHOOSE(CONTROL!$C$15, $D$11, 100%, $F$11)</f>
        <v>8.3999000000000006</v>
      </c>
      <c r="C272" s="8">
        <f>CHOOSE( CONTROL!$C$32, 8.4044, 8.4033) * CHOOSE(CONTROL!$C$15, $D$11, 100%, $F$11)</f>
        <v>8.4044000000000008</v>
      </c>
      <c r="D272" s="8">
        <f>CHOOSE( CONTROL!$C$32, 8.4072, 8.4062) * CHOOSE( CONTROL!$C$15, $D$11, 100%, $F$11)</f>
        <v>8.4071999999999996</v>
      </c>
      <c r="E272" s="12">
        <f>CHOOSE( CONTROL!$C$32, 8.4058, 8.4047) * CHOOSE( CONTROL!$C$15, $D$11, 100%, $F$11)</f>
        <v>8.4057999999999993</v>
      </c>
      <c r="F272" s="4">
        <f>CHOOSE( CONTROL!$C$32, 9.1082, 9.1071) * CHOOSE(CONTROL!$C$15, $D$11, 100%, $F$11)</f>
        <v>9.1082000000000001</v>
      </c>
      <c r="G272" s="8">
        <f>CHOOSE( CONTROL!$C$32, 8.3128, 8.3117) * CHOOSE( CONTROL!$C$15, $D$11, 100%, $F$11)</f>
        <v>8.3127999999999993</v>
      </c>
      <c r="H272" s="4">
        <f>CHOOSE( CONTROL!$C$32, 9.2482, 9.2471) * CHOOSE(CONTROL!$C$15, $D$11, 100%, $F$11)</f>
        <v>9.2482000000000006</v>
      </c>
      <c r="I272" s="8">
        <f>CHOOSE( CONTROL!$C$32, 8.2639, 8.2628) * CHOOSE(CONTROL!$C$15, $D$11, 100%, $F$11)</f>
        <v>8.2638999999999996</v>
      </c>
      <c r="J272" s="4">
        <f>CHOOSE( CONTROL!$C$32, 8.1426, 8.1416) * CHOOSE(CONTROL!$C$15, $D$11, 100%, $F$11)</f>
        <v>8.1425999999999998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1.2509999999999999</v>
      </c>
      <c r="Q272" s="9">
        <v>29.6568</v>
      </c>
      <c r="R272" s="9"/>
      <c r="S272" s="11"/>
    </row>
    <row r="273" spans="1:19" ht="15.75">
      <c r="A273" s="13">
        <v>49430</v>
      </c>
      <c r="B273" s="8">
        <f>CHOOSE( CONTROL!$C$32, 8.6254, 8.6237) * CHOOSE(CONTROL!$C$15, $D$11, 100%, $F$11)</f>
        <v>8.6254000000000008</v>
      </c>
      <c r="C273" s="8">
        <f>CHOOSE( CONTROL!$C$32, 8.6333, 8.6317) * CHOOSE(CONTROL!$C$15, $D$11, 100%, $F$11)</f>
        <v>8.6333000000000002</v>
      </c>
      <c r="D273" s="8">
        <f>CHOOSE( CONTROL!$C$32, 8.6301, 8.6284) * CHOOSE( CONTROL!$C$15, $D$11, 100%, $F$11)</f>
        <v>8.6301000000000005</v>
      </c>
      <c r="E273" s="12">
        <f>CHOOSE( CONTROL!$C$32, 8.6301, 8.6284) * CHOOSE( CONTROL!$C$15, $D$11, 100%, $F$11)</f>
        <v>8.6301000000000005</v>
      </c>
      <c r="F273" s="4">
        <f>CHOOSE( CONTROL!$C$32, 9.3323, 9.3307) * CHOOSE(CONTROL!$C$15, $D$11, 100%, $F$11)</f>
        <v>9.3323</v>
      </c>
      <c r="G273" s="8">
        <f>CHOOSE( CONTROL!$C$32, 8.5342, 8.5325) * CHOOSE( CONTROL!$C$15, $D$11, 100%, $F$11)</f>
        <v>8.5342000000000002</v>
      </c>
      <c r="H273" s="4">
        <f>CHOOSE( CONTROL!$C$32, 9.4697, 9.468) * CHOOSE(CONTROL!$C$15, $D$11, 100%, $F$11)</f>
        <v>9.4696999999999996</v>
      </c>
      <c r="I273" s="8">
        <f>CHOOSE( CONTROL!$C$32, 8.4808, 8.4791) * CHOOSE(CONTROL!$C$15, $D$11, 100%, $F$11)</f>
        <v>8.4808000000000003</v>
      </c>
      <c r="J273" s="4">
        <f>CHOOSE( CONTROL!$C$32, 8.3601, 8.3585) * CHOOSE(CONTROL!$C$15, $D$11, 100%, $F$11)</f>
        <v>8.3600999999999992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1.2927</v>
      </c>
      <c r="Q273" s="9">
        <v>30.645399999999999</v>
      </c>
      <c r="R273" s="9"/>
      <c r="S273" s="11"/>
    </row>
    <row r="274" spans="1:19" ht="15.75">
      <c r="A274" s="14">
        <v>49461</v>
      </c>
      <c r="B274" s="8">
        <f>CHOOSE( CONTROL!$C$32, 8.4869, 8.4852) * CHOOSE(CONTROL!$C$15, $D$11, 100%, $F$11)</f>
        <v>8.4869000000000003</v>
      </c>
      <c r="C274" s="8">
        <f>CHOOSE( CONTROL!$C$32, 8.4949, 8.4932) * CHOOSE(CONTROL!$C$15, $D$11, 100%, $F$11)</f>
        <v>8.4948999999999995</v>
      </c>
      <c r="D274" s="8">
        <f>CHOOSE( CONTROL!$C$32, 8.4918, 8.4902) * CHOOSE( CONTROL!$C$15, $D$11, 100%, $F$11)</f>
        <v>8.4917999999999996</v>
      </c>
      <c r="E274" s="12">
        <f>CHOOSE( CONTROL!$C$32, 8.4917, 8.4901) * CHOOSE( CONTROL!$C$15, $D$11, 100%, $F$11)</f>
        <v>8.4916999999999998</v>
      </c>
      <c r="F274" s="4">
        <f>CHOOSE( CONTROL!$C$32, 9.1938, 9.1922) * CHOOSE(CONTROL!$C$15, $D$11, 100%, $F$11)</f>
        <v>9.1937999999999995</v>
      </c>
      <c r="G274" s="8">
        <f>CHOOSE( CONTROL!$C$32, 8.3975, 8.3959) * CHOOSE( CONTROL!$C$15, $D$11, 100%, $F$11)</f>
        <v>8.3975000000000009</v>
      </c>
      <c r="H274" s="4">
        <f>CHOOSE( CONTROL!$C$32, 9.3328, 9.3312) * CHOOSE(CONTROL!$C$15, $D$11, 100%, $F$11)</f>
        <v>9.3328000000000007</v>
      </c>
      <c r="I274" s="8">
        <f>CHOOSE( CONTROL!$C$32, 8.3471, 8.3455) * CHOOSE(CONTROL!$C$15, $D$11, 100%, $F$11)</f>
        <v>8.3470999999999993</v>
      </c>
      <c r="J274" s="4">
        <f>CHOOSE( CONTROL!$C$32, 8.2257, 8.2241) * CHOOSE(CONTROL!$C$15, $D$11, 100%, $F$11)</f>
        <v>8.2256999999999998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1.2509999999999999</v>
      </c>
      <c r="Q274" s="9">
        <v>29.6568</v>
      </c>
      <c r="R274" s="9"/>
      <c r="S274" s="11"/>
    </row>
    <row r="275" spans="1:19" ht="15.75">
      <c r="A275" s="14">
        <v>49491</v>
      </c>
      <c r="B275" s="8">
        <f>CHOOSE( CONTROL!$C$32, 8.8515, 8.8499) * CHOOSE(CONTROL!$C$15, $D$11, 100%, $F$11)</f>
        <v>8.8514999999999997</v>
      </c>
      <c r="C275" s="8">
        <f>CHOOSE( CONTROL!$C$32, 8.8595, 8.8579) * CHOOSE(CONTROL!$C$15, $D$11, 100%, $F$11)</f>
        <v>8.8595000000000006</v>
      </c>
      <c r="D275" s="8">
        <f>CHOOSE( CONTROL!$C$32, 8.8567, 8.8551) * CHOOSE( CONTROL!$C$15, $D$11, 100%, $F$11)</f>
        <v>8.8567</v>
      </c>
      <c r="E275" s="12">
        <f>CHOOSE( CONTROL!$C$32, 8.8565, 8.8549) * CHOOSE( CONTROL!$C$15, $D$11, 100%, $F$11)</f>
        <v>8.8565000000000005</v>
      </c>
      <c r="F275" s="4">
        <f>CHOOSE( CONTROL!$C$32, 9.5585, 9.5568) * CHOOSE(CONTROL!$C$15, $D$11, 100%, $F$11)</f>
        <v>9.5585000000000004</v>
      </c>
      <c r="G275" s="8">
        <f>CHOOSE( CONTROL!$C$32, 8.7581, 8.7564) * CHOOSE( CONTROL!$C$15, $D$11, 100%, $F$11)</f>
        <v>8.7581000000000007</v>
      </c>
      <c r="H275" s="4">
        <f>CHOOSE( CONTROL!$C$32, 9.6932, 9.6915) * CHOOSE(CONTROL!$C$15, $D$11, 100%, $F$11)</f>
        <v>9.6931999999999992</v>
      </c>
      <c r="I275" s="8">
        <f>CHOOSE( CONTROL!$C$32, 8.702, 8.7004) * CHOOSE(CONTROL!$C$15, $D$11, 100%, $F$11)</f>
        <v>8.702</v>
      </c>
      <c r="J275" s="4">
        <f>CHOOSE( CONTROL!$C$32, 8.5796, 8.578) * CHOOSE(CONTROL!$C$15, $D$11, 100%, $F$11)</f>
        <v>8.5795999999999992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1.2927</v>
      </c>
      <c r="Q275" s="9">
        <v>30.645399999999999</v>
      </c>
      <c r="R275" s="9"/>
      <c r="S275" s="11"/>
    </row>
    <row r="276" spans="1:19" ht="15.75">
      <c r="A276" s="14">
        <v>49522</v>
      </c>
      <c r="B276" s="8">
        <f>CHOOSE( CONTROL!$C$32, 8.1693, 8.1676) * CHOOSE(CONTROL!$C$15, $D$11, 100%, $F$11)</f>
        <v>8.1692999999999998</v>
      </c>
      <c r="C276" s="8">
        <f>CHOOSE( CONTROL!$C$32, 8.1772, 8.1756) * CHOOSE(CONTROL!$C$15, $D$11, 100%, $F$11)</f>
        <v>8.1771999999999991</v>
      </c>
      <c r="D276" s="8">
        <f>CHOOSE( CONTROL!$C$32, 8.1745, 8.1729) * CHOOSE( CONTROL!$C$15, $D$11, 100%, $F$11)</f>
        <v>8.1745000000000001</v>
      </c>
      <c r="E276" s="12">
        <f>CHOOSE( CONTROL!$C$32, 8.1743, 8.1727) * CHOOSE( CONTROL!$C$15, $D$11, 100%, $F$11)</f>
        <v>8.1743000000000006</v>
      </c>
      <c r="F276" s="4">
        <f>CHOOSE( CONTROL!$C$32, 8.8762, 8.8745) * CHOOSE(CONTROL!$C$15, $D$11, 100%, $F$11)</f>
        <v>8.8762000000000008</v>
      </c>
      <c r="G276" s="8">
        <f>CHOOSE( CONTROL!$C$32, 8.0838, 8.0822) * CHOOSE( CONTROL!$C$15, $D$11, 100%, $F$11)</f>
        <v>8.0838000000000001</v>
      </c>
      <c r="H276" s="4">
        <f>CHOOSE( CONTROL!$C$32, 9.0189, 9.0173) * CHOOSE(CONTROL!$C$15, $D$11, 100%, $F$11)</f>
        <v>9.0189000000000004</v>
      </c>
      <c r="I276" s="8">
        <f>CHOOSE( CONTROL!$C$32, 8.0398, 8.0382) * CHOOSE(CONTROL!$C$15, $D$11, 100%, $F$11)</f>
        <v>8.0397999999999996</v>
      </c>
      <c r="J276" s="4">
        <f>CHOOSE( CONTROL!$C$32, 7.9174, 7.9158) * CHOOSE(CONTROL!$C$15, $D$11, 100%, $F$11)</f>
        <v>7.9173999999999998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1.2927</v>
      </c>
      <c r="Q276" s="9">
        <v>30.645399999999999</v>
      </c>
      <c r="R276" s="9"/>
      <c r="S276" s="11"/>
    </row>
    <row r="277" spans="1:19" ht="15.75">
      <c r="A277" s="14">
        <v>49553</v>
      </c>
      <c r="B277" s="8">
        <f>CHOOSE( CONTROL!$C$32, 7.9984, 7.9967) * CHOOSE(CONTROL!$C$15, $D$11, 100%, $F$11)</f>
        <v>7.9984000000000002</v>
      </c>
      <c r="C277" s="8">
        <f>CHOOSE( CONTROL!$C$32, 8.0064, 8.0047) * CHOOSE(CONTROL!$C$15, $D$11, 100%, $F$11)</f>
        <v>8.0063999999999993</v>
      </c>
      <c r="D277" s="8">
        <f>CHOOSE( CONTROL!$C$32, 8.0036, 8.002) * CHOOSE( CONTROL!$C$15, $D$11, 100%, $F$11)</f>
        <v>8.0036000000000005</v>
      </c>
      <c r="E277" s="12">
        <f>CHOOSE( CONTROL!$C$32, 8.0034, 8.0018) * CHOOSE( CONTROL!$C$15, $D$11, 100%, $F$11)</f>
        <v>8.0033999999999992</v>
      </c>
      <c r="F277" s="4">
        <f>CHOOSE( CONTROL!$C$32, 8.7053, 8.7037) * CHOOSE(CONTROL!$C$15, $D$11, 100%, $F$11)</f>
        <v>8.7052999999999994</v>
      </c>
      <c r="G277" s="8">
        <f>CHOOSE( CONTROL!$C$32, 7.9149, 7.9133) * CHOOSE( CONTROL!$C$15, $D$11, 100%, $F$11)</f>
        <v>7.9149000000000003</v>
      </c>
      <c r="H277" s="4">
        <f>CHOOSE( CONTROL!$C$32, 8.85, 8.8484) * CHOOSE(CONTROL!$C$15, $D$11, 100%, $F$11)</f>
        <v>8.85</v>
      </c>
      <c r="I277" s="8">
        <f>CHOOSE( CONTROL!$C$32, 7.8738, 7.8722) * CHOOSE(CONTROL!$C$15, $D$11, 100%, $F$11)</f>
        <v>7.8738000000000001</v>
      </c>
      <c r="J277" s="4">
        <f>CHOOSE( CONTROL!$C$32, 7.7516, 7.75) * CHOOSE(CONTROL!$C$15, $D$11, 100%, $F$11)</f>
        <v>7.7515999999999998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1.2509999999999999</v>
      </c>
      <c r="Q277" s="9">
        <v>29.6568</v>
      </c>
      <c r="R277" s="9"/>
      <c r="S277" s="11"/>
    </row>
    <row r="278" spans="1:19" ht="15.75">
      <c r="A278" s="14">
        <v>49583</v>
      </c>
      <c r="B278" s="8">
        <f>CHOOSE( CONTROL!$C$32, 8.3509, 8.3498) * CHOOSE(CONTROL!$C$15, $D$11, 100%, $F$11)</f>
        <v>8.3508999999999993</v>
      </c>
      <c r="C278" s="8">
        <f>CHOOSE( CONTROL!$C$32, 8.3562, 8.3551) * CHOOSE(CONTROL!$C$15, $D$11, 100%, $F$11)</f>
        <v>8.3561999999999994</v>
      </c>
      <c r="D278" s="8">
        <f>CHOOSE( CONTROL!$C$32, 8.3591, 8.358) * CHOOSE( CONTROL!$C$15, $D$11, 100%, $F$11)</f>
        <v>8.3590999999999998</v>
      </c>
      <c r="E278" s="12">
        <f>CHOOSE( CONTROL!$C$32, 8.3576, 8.3565) * CHOOSE( CONTROL!$C$15, $D$11, 100%, $F$11)</f>
        <v>8.3575999999999997</v>
      </c>
      <c r="F278" s="4">
        <f>CHOOSE( CONTROL!$C$32, 9.0595, 9.0584) * CHOOSE(CONTROL!$C$15, $D$11, 100%, $F$11)</f>
        <v>9.0594999999999999</v>
      </c>
      <c r="G278" s="8">
        <f>CHOOSE( CONTROL!$C$32, 8.2651, 8.2641) * CHOOSE( CONTROL!$C$15, $D$11, 100%, $F$11)</f>
        <v>8.2651000000000003</v>
      </c>
      <c r="H278" s="4">
        <f>CHOOSE( CONTROL!$C$32, 9.2001, 9.199) * CHOOSE(CONTROL!$C$15, $D$11, 100%, $F$11)</f>
        <v>9.2001000000000008</v>
      </c>
      <c r="I278" s="8">
        <f>CHOOSE( CONTROL!$C$32, 8.2185, 8.2174) * CHOOSE(CONTROL!$C$15, $D$11, 100%, $F$11)</f>
        <v>8.2185000000000006</v>
      </c>
      <c r="J278" s="4">
        <f>CHOOSE( CONTROL!$C$32, 8.0954, 8.0943) * CHOOSE(CONTROL!$C$15, $D$11, 100%, $F$11)</f>
        <v>8.0953999999999997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1.2927</v>
      </c>
      <c r="Q278" s="9">
        <v>30.645399999999999</v>
      </c>
      <c r="R278" s="9"/>
      <c r="S278" s="11"/>
    </row>
    <row r="279" spans="1:19" ht="15.75">
      <c r="A279" s="14">
        <v>49614</v>
      </c>
      <c r="B279" s="8">
        <f>CHOOSE( CONTROL!$C$32, 9.0052, 9.0042) * CHOOSE(CONTROL!$C$15, $D$11, 100%, $F$11)</f>
        <v>9.0052000000000003</v>
      </c>
      <c r="C279" s="8">
        <f>CHOOSE( CONTROL!$C$32, 9.0103, 9.0092) * CHOOSE(CONTROL!$C$15, $D$11, 100%, $F$11)</f>
        <v>9.0103000000000009</v>
      </c>
      <c r="D279" s="8">
        <f>CHOOSE( CONTROL!$C$32, 8.9925, 8.9914) * CHOOSE( CONTROL!$C$15, $D$11, 100%, $F$11)</f>
        <v>8.9924999999999997</v>
      </c>
      <c r="E279" s="12">
        <f>CHOOSE( CONTROL!$C$32, 8.9985, 8.9974) * CHOOSE( CONTROL!$C$15, $D$11, 100%, $F$11)</f>
        <v>8.9984999999999999</v>
      </c>
      <c r="F279" s="4">
        <f>CHOOSE( CONTROL!$C$32, 9.6705, 9.6694) * CHOOSE(CONTROL!$C$15, $D$11, 100%, $F$11)</f>
        <v>9.6705000000000005</v>
      </c>
      <c r="G279" s="8">
        <f>CHOOSE( CONTROL!$C$32, 8.9114, 8.9103) * CHOOSE( CONTROL!$C$15, $D$11, 100%, $F$11)</f>
        <v>8.9114000000000004</v>
      </c>
      <c r="H279" s="4">
        <f>CHOOSE( CONTROL!$C$32, 9.8039, 9.8028) * CHOOSE(CONTROL!$C$15, $D$11, 100%, $F$11)</f>
        <v>9.8039000000000005</v>
      </c>
      <c r="I279" s="8">
        <f>CHOOSE( CONTROL!$C$32, 8.916, 8.915) * CHOOSE(CONTROL!$C$15, $D$11, 100%, $F$11)</f>
        <v>8.9160000000000004</v>
      </c>
      <c r="J279" s="4">
        <f>CHOOSE( CONTROL!$C$32, 8.7308, 8.7298) * CHOOSE(CONTROL!$C$15, $D$11, 100%, $F$11)</f>
        <v>8.7308000000000003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29.6568</v>
      </c>
      <c r="R279" s="9"/>
      <c r="S279" s="11"/>
    </row>
    <row r="280" spans="1:19" ht="15.75">
      <c r="A280" s="14">
        <v>49644</v>
      </c>
      <c r="B280" s="8">
        <f>CHOOSE( CONTROL!$C$32, 8.9889, 8.9878) * CHOOSE(CONTROL!$C$15, $D$11, 100%, $F$11)</f>
        <v>8.9888999999999992</v>
      </c>
      <c r="C280" s="8">
        <f>CHOOSE( CONTROL!$C$32, 8.994, 8.9929) * CHOOSE(CONTROL!$C$15, $D$11, 100%, $F$11)</f>
        <v>8.9939999999999998</v>
      </c>
      <c r="D280" s="8">
        <f>CHOOSE( CONTROL!$C$32, 8.9776, 8.9765) * CHOOSE( CONTROL!$C$15, $D$11, 100%, $F$11)</f>
        <v>8.9776000000000007</v>
      </c>
      <c r="E280" s="12">
        <f>CHOOSE( CONTROL!$C$32, 8.9831, 8.982) * CHOOSE( CONTROL!$C$15, $D$11, 100%, $F$11)</f>
        <v>8.9831000000000003</v>
      </c>
      <c r="F280" s="4">
        <f>CHOOSE( CONTROL!$C$32, 9.6542, 9.6531) * CHOOSE(CONTROL!$C$15, $D$11, 100%, $F$11)</f>
        <v>9.6541999999999994</v>
      </c>
      <c r="G280" s="8">
        <f>CHOOSE( CONTROL!$C$32, 8.8962, 8.8951) * CHOOSE( CONTROL!$C$15, $D$11, 100%, $F$11)</f>
        <v>8.8962000000000003</v>
      </c>
      <c r="H280" s="4">
        <f>CHOOSE( CONTROL!$C$32, 9.7877, 9.7867) * CHOOSE(CONTROL!$C$15, $D$11, 100%, $F$11)</f>
        <v>9.7876999999999992</v>
      </c>
      <c r="I280" s="8">
        <f>CHOOSE( CONTROL!$C$32, 8.9046, 8.9035) * CHOOSE(CONTROL!$C$15, $D$11, 100%, $F$11)</f>
        <v>8.9046000000000003</v>
      </c>
      <c r="J280" s="4">
        <f>CHOOSE( CONTROL!$C$32, 8.715, 8.7139) * CHOOSE(CONTROL!$C$15, $D$11, 100%, $F$11)</f>
        <v>8.7149999999999999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30.645399999999999</v>
      </c>
      <c r="R280" s="9"/>
      <c r="S280" s="11"/>
    </row>
    <row r="281" spans="1:19" ht="15.75">
      <c r="A281" s="14">
        <v>49675</v>
      </c>
      <c r="B281" s="8">
        <f>CHOOSE( CONTROL!$C$32, 9.2537, 9.2526) * CHOOSE(CONTROL!$C$15, $D$11, 100%, $F$11)</f>
        <v>9.2537000000000003</v>
      </c>
      <c r="C281" s="8">
        <f>CHOOSE( CONTROL!$C$32, 9.2588, 9.2577) * CHOOSE(CONTROL!$C$15, $D$11, 100%, $F$11)</f>
        <v>9.2588000000000008</v>
      </c>
      <c r="D281" s="8">
        <f>CHOOSE( CONTROL!$C$32, 9.2375, 9.2364) * CHOOSE( CONTROL!$C$15, $D$11, 100%, $F$11)</f>
        <v>9.2375000000000007</v>
      </c>
      <c r="E281" s="12">
        <f>CHOOSE( CONTROL!$C$32, 9.2447, 9.2436) * CHOOSE( CONTROL!$C$15, $D$11, 100%, $F$11)</f>
        <v>9.2446999999999999</v>
      </c>
      <c r="F281" s="4">
        <f>CHOOSE( CONTROL!$C$32, 9.919, 9.9179) * CHOOSE(CONTROL!$C$15, $D$11, 100%, $F$11)</f>
        <v>9.9190000000000005</v>
      </c>
      <c r="G281" s="8">
        <f>CHOOSE( CONTROL!$C$32, 9.1475, 9.1464) * CHOOSE( CONTROL!$C$15, $D$11, 100%, $F$11)</f>
        <v>9.1475000000000009</v>
      </c>
      <c r="H281" s="4">
        <f>CHOOSE( CONTROL!$C$32, 10.0495, 10.0484) * CHOOSE(CONTROL!$C$15, $D$11, 100%, $F$11)</f>
        <v>10.0495</v>
      </c>
      <c r="I281" s="8">
        <f>CHOOSE( CONTROL!$C$32, 9.1238, 9.1228) * CHOOSE(CONTROL!$C$15, $D$11, 100%, $F$11)</f>
        <v>9.1237999999999992</v>
      </c>
      <c r="J281" s="4">
        <f>CHOOSE( CONTROL!$C$32, 8.972, 8.9709) * CHOOSE(CONTROL!$C$15, $D$11, 100%, $F$11)</f>
        <v>8.9719999999999995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30.580300000000001</v>
      </c>
      <c r="R281" s="9"/>
      <c r="S281" s="11"/>
    </row>
    <row r="282" spans="1:19" ht="15.75">
      <c r="A282" s="14">
        <v>49706</v>
      </c>
      <c r="B282" s="8">
        <f>CHOOSE( CONTROL!$C$32, 8.6561, 8.6551) * CHOOSE(CONTROL!$C$15, $D$11, 100%, $F$11)</f>
        <v>8.6561000000000003</v>
      </c>
      <c r="C282" s="8">
        <f>CHOOSE( CONTROL!$C$32, 8.6612, 8.6601) * CHOOSE(CONTROL!$C$15, $D$11, 100%, $F$11)</f>
        <v>8.6611999999999991</v>
      </c>
      <c r="D282" s="8">
        <f>CHOOSE( CONTROL!$C$32, 8.6398, 8.6387) * CHOOSE( CONTROL!$C$15, $D$11, 100%, $F$11)</f>
        <v>8.6397999999999993</v>
      </c>
      <c r="E282" s="12">
        <f>CHOOSE( CONTROL!$C$32, 8.6471, 8.646) * CHOOSE( CONTROL!$C$15, $D$11, 100%, $F$11)</f>
        <v>8.6471</v>
      </c>
      <c r="F282" s="4">
        <f>CHOOSE( CONTROL!$C$32, 9.3214, 9.3203) * CHOOSE(CONTROL!$C$15, $D$11, 100%, $F$11)</f>
        <v>9.3214000000000006</v>
      </c>
      <c r="G282" s="8">
        <f>CHOOSE( CONTROL!$C$32, 8.5568, 8.5557) * CHOOSE( CONTROL!$C$15, $D$11, 100%, $F$11)</f>
        <v>8.5568000000000008</v>
      </c>
      <c r="H282" s="4">
        <f>CHOOSE( CONTROL!$C$32, 9.4589, 9.4578) * CHOOSE(CONTROL!$C$15, $D$11, 100%, $F$11)</f>
        <v>9.4588999999999999</v>
      </c>
      <c r="I282" s="8">
        <f>CHOOSE( CONTROL!$C$32, 8.5432, 8.5421) * CHOOSE(CONTROL!$C$15, $D$11, 100%, $F$11)</f>
        <v>8.5432000000000006</v>
      </c>
      <c r="J282" s="4">
        <f>CHOOSE( CONTROL!$C$32, 8.392, 8.391) * CHOOSE(CONTROL!$C$15, $D$11, 100%, $F$11)</f>
        <v>8.3919999999999995</v>
      </c>
      <c r="K282" s="4"/>
      <c r="L282" s="9">
        <v>27.415299999999998</v>
      </c>
      <c r="M282" s="9">
        <v>11.285299999999999</v>
      </c>
      <c r="N282" s="9">
        <v>4.6254999999999997</v>
      </c>
      <c r="O282" s="9">
        <v>0.34989999999999999</v>
      </c>
      <c r="P282" s="9">
        <v>1.2093</v>
      </c>
      <c r="Q282" s="9">
        <v>28.607299999999999</v>
      </c>
      <c r="R282" s="9"/>
      <c r="S282" s="11"/>
    </row>
    <row r="283" spans="1:19" ht="15.75">
      <c r="A283" s="14">
        <v>49735</v>
      </c>
      <c r="B283" s="8">
        <f>CHOOSE( CONTROL!$C$32, 8.4721, 8.471) * CHOOSE(CONTROL!$C$15, $D$11, 100%, $F$11)</f>
        <v>8.4720999999999993</v>
      </c>
      <c r="C283" s="8">
        <f>CHOOSE( CONTROL!$C$32, 8.4772, 8.4761) * CHOOSE(CONTROL!$C$15, $D$11, 100%, $F$11)</f>
        <v>8.4771999999999998</v>
      </c>
      <c r="D283" s="8">
        <f>CHOOSE( CONTROL!$C$32, 8.4551, 8.454) * CHOOSE( CONTROL!$C$15, $D$11, 100%, $F$11)</f>
        <v>8.4550999999999998</v>
      </c>
      <c r="E283" s="12">
        <f>CHOOSE( CONTROL!$C$32, 8.4626, 8.4615) * CHOOSE( CONTROL!$C$15, $D$11, 100%, $F$11)</f>
        <v>8.4626000000000001</v>
      </c>
      <c r="F283" s="4">
        <f>CHOOSE( CONTROL!$C$32, 9.1374, 9.1363) * CHOOSE(CONTROL!$C$15, $D$11, 100%, $F$11)</f>
        <v>9.1373999999999995</v>
      </c>
      <c r="G283" s="8">
        <f>CHOOSE( CONTROL!$C$32, 8.3744, 8.3734) * CHOOSE( CONTROL!$C$15, $D$11, 100%, $F$11)</f>
        <v>8.3743999999999996</v>
      </c>
      <c r="H283" s="4">
        <f>CHOOSE( CONTROL!$C$32, 9.277, 9.2759) * CHOOSE(CONTROL!$C$15, $D$11, 100%, $F$11)</f>
        <v>9.2769999999999992</v>
      </c>
      <c r="I283" s="8">
        <f>CHOOSE( CONTROL!$C$32, 8.3625, 8.3614) * CHOOSE(CONTROL!$C$15, $D$11, 100%, $F$11)</f>
        <v>8.3625000000000007</v>
      </c>
      <c r="J283" s="4">
        <f>CHOOSE( CONTROL!$C$32, 8.2134, 8.2124) * CHOOSE(CONTROL!$C$15, $D$11, 100%, $F$11)</f>
        <v>8.2134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30.580300000000001</v>
      </c>
      <c r="R283" s="9"/>
      <c r="S283" s="11"/>
    </row>
    <row r="284" spans="1:19" ht="15.75">
      <c r="A284" s="14">
        <v>49766</v>
      </c>
      <c r="B284" s="8">
        <f>CHOOSE( CONTROL!$C$32, 8.6015, 8.6004) * CHOOSE(CONTROL!$C$15, $D$11, 100%, $F$11)</f>
        <v>8.6014999999999997</v>
      </c>
      <c r="C284" s="8">
        <f>CHOOSE( CONTROL!$C$32, 8.606, 8.6049) * CHOOSE(CONTROL!$C$15, $D$11, 100%, $F$11)</f>
        <v>8.6059999999999999</v>
      </c>
      <c r="D284" s="8">
        <f>CHOOSE( CONTROL!$C$32, 8.6088, 8.6077) * CHOOSE( CONTROL!$C$15, $D$11, 100%, $F$11)</f>
        <v>8.6088000000000005</v>
      </c>
      <c r="E284" s="12">
        <f>CHOOSE( CONTROL!$C$32, 8.6074, 8.6063) * CHOOSE( CONTROL!$C$15, $D$11, 100%, $F$11)</f>
        <v>8.6074000000000002</v>
      </c>
      <c r="F284" s="4">
        <f>CHOOSE( CONTROL!$C$32, 9.3098, 9.3087) * CHOOSE(CONTROL!$C$15, $D$11, 100%, $F$11)</f>
        <v>9.3097999999999992</v>
      </c>
      <c r="G284" s="8">
        <f>CHOOSE( CONTROL!$C$32, 8.512, 8.5109) * CHOOSE( CONTROL!$C$15, $D$11, 100%, $F$11)</f>
        <v>8.5120000000000005</v>
      </c>
      <c r="H284" s="4">
        <f>CHOOSE( CONTROL!$C$32, 9.4474, 9.4463) * CHOOSE(CONTROL!$C$15, $D$11, 100%, $F$11)</f>
        <v>9.4474</v>
      </c>
      <c r="I284" s="8">
        <f>CHOOSE( CONTROL!$C$32, 8.4596, 8.4585) * CHOOSE(CONTROL!$C$15, $D$11, 100%, $F$11)</f>
        <v>8.4596</v>
      </c>
      <c r="J284" s="4">
        <f>CHOOSE( CONTROL!$C$32, 8.3382, 8.3372) * CHOOSE(CONTROL!$C$15, $D$11, 100%, $F$11)</f>
        <v>8.3382000000000005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1.2509999999999999</v>
      </c>
      <c r="Q284" s="9">
        <v>29.593800000000002</v>
      </c>
      <c r="R284" s="9"/>
      <c r="S284" s="11"/>
    </row>
    <row r="285" spans="1:19" ht="15.75">
      <c r="A285" s="14">
        <v>49796</v>
      </c>
      <c r="B285" s="8">
        <f>CHOOSE( CONTROL!$C$32, 8.8323, 8.8306) * CHOOSE(CONTROL!$C$15, $D$11, 100%, $F$11)</f>
        <v>8.8323</v>
      </c>
      <c r="C285" s="8">
        <f>CHOOSE( CONTROL!$C$32, 8.8403, 8.8386) * CHOOSE(CONTROL!$C$15, $D$11, 100%, $F$11)</f>
        <v>8.8402999999999992</v>
      </c>
      <c r="D285" s="8">
        <f>CHOOSE( CONTROL!$C$32, 8.837, 8.8354) * CHOOSE( CONTROL!$C$15, $D$11, 100%, $F$11)</f>
        <v>8.8369999999999997</v>
      </c>
      <c r="E285" s="12">
        <f>CHOOSE( CONTROL!$C$32, 8.837, 8.8353) * CHOOSE( CONTROL!$C$15, $D$11, 100%, $F$11)</f>
        <v>8.8369999999999997</v>
      </c>
      <c r="F285" s="4">
        <f>CHOOSE( CONTROL!$C$32, 9.5392, 9.5376) * CHOOSE(CONTROL!$C$15, $D$11, 100%, $F$11)</f>
        <v>9.5391999999999992</v>
      </c>
      <c r="G285" s="8">
        <f>CHOOSE( CONTROL!$C$32, 8.7387, 8.737) * CHOOSE( CONTROL!$C$15, $D$11, 100%, $F$11)</f>
        <v>8.7386999999999997</v>
      </c>
      <c r="H285" s="4">
        <f>CHOOSE( CONTROL!$C$32, 9.6742, 9.6725) * CHOOSE(CONTROL!$C$15, $D$11, 100%, $F$11)</f>
        <v>9.6742000000000008</v>
      </c>
      <c r="I285" s="8">
        <f>CHOOSE( CONTROL!$C$32, 8.6817, 8.6801) * CHOOSE(CONTROL!$C$15, $D$11, 100%, $F$11)</f>
        <v>8.6816999999999993</v>
      </c>
      <c r="J285" s="4">
        <f>CHOOSE( CONTROL!$C$32, 8.5609, 8.5593) * CHOOSE(CONTROL!$C$15, $D$11, 100%, $F$11)</f>
        <v>8.5609000000000002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1.2927</v>
      </c>
      <c r="Q285" s="9">
        <v>30.580300000000001</v>
      </c>
      <c r="R285" s="9"/>
      <c r="S285" s="11"/>
    </row>
    <row r="286" spans="1:19" ht="15.75">
      <c r="A286" s="14">
        <v>49827</v>
      </c>
      <c r="B286" s="8">
        <f>CHOOSE( CONTROL!$C$32, 8.6905, 8.6888) * CHOOSE(CONTROL!$C$15, $D$11, 100%, $F$11)</f>
        <v>8.6905000000000001</v>
      </c>
      <c r="C286" s="8">
        <f>CHOOSE( CONTROL!$C$32, 8.6985, 8.6968) * CHOOSE(CONTROL!$C$15, $D$11, 100%, $F$11)</f>
        <v>8.6984999999999992</v>
      </c>
      <c r="D286" s="8">
        <f>CHOOSE( CONTROL!$C$32, 8.6954, 8.6938) * CHOOSE( CONTROL!$C$15, $D$11, 100%, $F$11)</f>
        <v>8.6953999999999994</v>
      </c>
      <c r="E286" s="12">
        <f>CHOOSE( CONTROL!$C$32, 8.6953, 8.6937) * CHOOSE( CONTROL!$C$15, $D$11, 100%, $F$11)</f>
        <v>8.6952999999999996</v>
      </c>
      <c r="F286" s="4">
        <f>CHOOSE( CONTROL!$C$32, 9.3974, 9.3958) * CHOOSE(CONTROL!$C$15, $D$11, 100%, $F$11)</f>
        <v>9.3973999999999993</v>
      </c>
      <c r="G286" s="8">
        <f>CHOOSE( CONTROL!$C$32, 8.5987, 8.5971) * CHOOSE( CONTROL!$C$15, $D$11, 100%, $F$11)</f>
        <v>8.5986999999999991</v>
      </c>
      <c r="H286" s="4">
        <f>CHOOSE( CONTROL!$C$32, 9.534, 9.5324) * CHOOSE(CONTROL!$C$15, $D$11, 100%, $F$11)</f>
        <v>9.5340000000000007</v>
      </c>
      <c r="I286" s="8">
        <f>CHOOSE( CONTROL!$C$32, 8.5448, 8.5432) * CHOOSE(CONTROL!$C$15, $D$11, 100%, $F$11)</f>
        <v>8.5448000000000004</v>
      </c>
      <c r="J286" s="4">
        <f>CHOOSE( CONTROL!$C$32, 8.4233, 8.4217) * CHOOSE(CONTROL!$C$15, $D$11, 100%, $F$11)</f>
        <v>8.4232999999999993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1.2509999999999999</v>
      </c>
      <c r="Q286" s="9">
        <v>29.593800000000002</v>
      </c>
      <c r="R286" s="9"/>
      <c r="S286" s="11"/>
    </row>
    <row r="287" spans="1:19" ht="15.75">
      <c r="A287" s="14">
        <v>49857</v>
      </c>
      <c r="B287" s="8">
        <f>CHOOSE( CONTROL!$C$32, 9.0639, 9.0623) * CHOOSE(CONTROL!$C$15, $D$11, 100%, $F$11)</f>
        <v>9.0639000000000003</v>
      </c>
      <c r="C287" s="8">
        <f>CHOOSE( CONTROL!$C$32, 9.0719, 9.0702) * CHOOSE(CONTROL!$C$15, $D$11, 100%, $F$11)</f>
        <v>9.0718999999999994</v>
      </c>
      <c r="D287" s="8">
        <f>CHOOSE( CONTROL!$C$32, 9.0691, 9.0674) * CHOOSE( CONTROL!$C$15, $D$11, 100%, $F$11)</f>
        <v>9.0691000000000006</v>
      </c>
      <c r="E287" s="12">
        <f>CHOOSE( CONTROL!$C$32, 9.0689, 9.0672) * CHOOSE( CONTROL!$C$15, $D$11, 100%, $F$11)</f>
        <v>9.0688999999999993</v>
      </c>
      <c r="F287" s="4">
        <f>CHOOSE( CONTROL!$C$32, 9.7709, 9.7692) * CHOOSE(CONTROL!$C$15, $D$11, 100%, $F$11)</f>
        <v>9.7708999999999993</v>
      </c>
      <c r="G287" s="8">
        <f>CHOOSE( CONTROL!$C$32, 8.9679, 8.9663) * CHOOSE( CONTROL!$C$15, $D$11, 100%, $F$11)</f>
        <v>8.9679000000000002</v>
      </c>
      <c r="H287" s="4">
        <f>CHOOSE( CONTROL!$C$32, 9.9031, 9.9014) * CHOOSE(CONTROL!$C$15, $D$11, 100%, $F$11)</f>
        <v>9.9031000000000002</v>
      </c>
      <c r="I287" s="8">
        <f>CHOOSE( CONTROL!$C$32, 8.9082, 8.9066) * CHOOSE(CONTROL!$C$15, $D$11, 100%, $F$11)</f>
        <v>8.9082000000000008</v>
      </c>
      <c r="J287" s="4">
        <f>CHOOSE( CONTROL!$C$32, 8.7857, 8.7841) * CHOOSE(CONTROL!$C$15, $D$11, 100%, $F$11)</f>
        <v>8.7857000000000003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1.2927</v>
      </c>
      <c r="Q287" s="9">
        <v>30.580300000000001</v>
      </c>
      <c r="R287" s="9"/>
      <c r="S287" s="11"/>
    </row>
    <row r="288" spans="1:19" ht="15.75">
      <c r="A288" s="14">
        <v>49888</v>
      </c>
      <c r="B288" s="8">
        <f>CHOOSE( CONTROL!$C$32, 8.3652, 8.3636) * CHOOSE(CONTROL!$C$15, $D$11, 100%, $F$11)</f>
        <v>8.3651999999999997</v>
      </c>
      <c r="C288" s="8">
        <f>CHOOSE( CONTROL!$C$32, 8.3732, 8.3715) * CHOOSE(CONTROL!$C$15, $D$11, 100%, $F$11)</f>
        <v>8.3732000000000006</v>
      </c>
      <c r="D288" s="8">
        <f>CHOOSE( CONTROL!$C$32, 8.3705, 8.3689) * CHOOSE( CONTROL!$C$15, $D$11, 100%, $F$11)</f>
        <v>8.3704999999999998</v>
      </c>
      <c r="E288" s="12">
        <f>CHOOSE( CONTROL!$C$32, 8.3703, 8.3686) * CHOOSE( CONTROL!$C$15, $D$11, 100%, $F$11)</f>
        <v>8.3703000000000003</v>
      </c>
      <c r="F288" s="4">
        <f>CHOOSE( CONTROL!$C$32, 9.0722, 9.0705) * CHOOSE(CONTROL!$C$15, $D$11, 100%, $F$11)</f>
        <v>9.0722000000000005</v>
      </c>
      <c r="G288" s="8">
        <f>CHOOSE( CONTROL!$C$32, 8.2775, 8.2759) * CHOOSE( CONTROL!$C$15, $D$11, 100%, $F$11)</f>
        <v>8.2774999999999999</v>
      </c>
      <c r="H288" s="4">
        <f>CHOOSE( CONTROL!$C$32, 9.2126, 9.2109) * CHOOSE(CONTROL!$C$15, $D$11, 100%, $F$11)</f>
        <v>9.2126000000000001</v>
      </c>
      <c r="I288" s="8">
        <f>CHOOSE( CONTROL!$C$32, 8.2301, 8.2285) * CHOOSE(CONTROL!$C$15, $D$11, 100%, $F$11)</f>
        <v>8.2301000000000002</v>
      </c>
      <c r="J288" s="4">
        <f>CHOOSE( CONTROL!$C$32, 8.1076, 8.106) * CHOOSE(CONTROL!$C$15, $D$11, 100%, $F$11)</f>
        <v>8.1075999999999997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1.2927</v>
      </c>
      <c r="Q288" s="9">
        <v>30.580300000000001</v>
      </c>
      <c r="R288" s="9"/>
      <c r="S288" s="11"/>
    </row>
    <row r="289" spans="1:19" ht="15.75">
      <c r="A289" s="14">
        <v>49919</v>
      </c>
      <c r="B289" s="8">
        <f>CHOOSE( CONTROL!$C$32, 8.1903, 8.1886) * CHOOSE(CONTROL!$C$15, $D$11, 100%, $F$11)</f>
        <v>8.1903000000000006</v>
      </c>
      <c r="C289" s="8">
        <f>CHOOSE( CONTROL!$C$32, 8.1982, 8.1966) * CHOOSE(CONTROL!$C$15, $D$11, 100%, $F$11)</f>
        <v>8.1981999999999999</v>
      </c>
      <c r="D289" s="8">
        <f>CHOOSE( CONTROL!$C$32, 8.1955, 8.1938) * CHOOSE( CONTROL!$C$15, $D$11, 100%, $F$11)</f>
        <v>8.1954999999999991</v>
      </c>
      <c r="E289" s="12">
        <f>CHOOSE( CONTROL!$C$32, 8.1953, 8.1936) * CHOOSE( CONTROL!$C$15, $D$11, 100%, $F$11)</f>
        <v>8.1952999999999996</v>
      </c>
      <c r="F289" s="4">
        <f>CHOOSE( CONTROL!$C$32, 8.8972, 8.8956) * CHOOSE(CONTROL!$C$15, $D$11, 100%, $F$11)</f>
        <v>8.8971999999999998</v>
      </c>
      <c r="G289" s="8">
        <f>CHOOSE( CONTROL!$C$32, 8.1046, 8.1029) * CHOOSE( CONTROL!$C$15, $D$11, 100%, $F$11)</f>
        <v>8.1045999999999996</v>
      </c>
      <c r="H289" s="4">
        <f>CHOOSE( CONTROL!$C$32, 9.0397, 9.038) * CHOOSE(CONTROL!$C$15, $D$11, 100%, $F$11)</f>
        <v>9.0396999999999998</v>
      </c>
      <c r="I289" s="8">
        <f>CHOOSE( CONTROL!$C$32, 8.0601, 8.0585) * CHOOSE(CONTROL!$C$15, $D$11, 100%, $F$11)</f>
        <v>8.0601000000000003</v>
      </c>
      <c r="J289" s="4">
        <f>CHOOSE( CONTROL!$C$32, 7.9378, 7.9362) * CHOOSE(CONTROL!$C$15, $D$11, 100%, $F$11)</f>
        <v>7.9378000000000002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1.2509999999999999</v>
      </c>
      <c r="Q289" s="9">
        <v>29.593800000000002</v>
      </c>
      <c r="R289" s="9"/>
      <c r="S289" s="11"/>
    </row>
    <row r="290" spans="1:19" ht="15.75">
      <c r="A290" s="14">
        <v>49949</v>
      </c>
      <c r="B290" s="8">
        <f>CHOOSE( CONTROL!$C$32, 8.5512, 8.5502) * CHOOSE(CONTROL!$C$15, $D$11, 100%, $F$11)</f>
        <v>8.5511999999999997</v>
      </c>
      <c r="C290" s="8">
        <f>CHOOSE( CONTROL!$C$32, 8.5566, 8.5555) * CHOOSE(CONTROL!$C$15, $D$11, 100%, $F$11)</f>
        <v>8.5565999999999995</v>
      </c>
      <c r="D290" s="8">
        <f>CHOOSE( CONTROL!$C$32, 8.5595, 8.5584) * CHOOSE( CONTROL!$C$15, $D$11, 100%, $F$11)</f>
        <v>8.5594999999999999</v>
      </c>
      <c r="E290" s="12">
        <f>CHOOSE( CONTROL!$C$32, 8.558, 8.5569) * CHOOSE( CONTROL!$C$15, $D$11, 100%, $F$11)</f>
        <v>8.5579999999999998</v>
      </c>
      <c r="F290" s="4">
        <f>CHOOSE( CONTROL!$C$32, 9.2599, 9.2588) * CHOOSE(CONTROL!$C$15, $D$11, 100%, $F$11)</f>
        <v>9.2599</v>
      </c>
      <c r="G290" s="8">
        <f>CHOOSE( CONTROL!$C$32, 8.4632, 8.4621) * CHOOSE( CONTROL!$C$15, $D$11, 100%, $F$11)</f>
        <v>8.4632000000000005</v>
      </c>
      <c r="H290" s="4">
        <f>CHOOSE( CONTROL!$C$32, 9.3981, 9.397) * CHOOSE(CONTROL!$C$15, $D$11, 100%, $F$11)</f>
        <v>9.3980999999999995</v>
      </c>
      <c r="I290" s="8">
        <f>CHOOSE( CONTROL!$C$32, 8.4131, 8.412) * CHOOSE(CONTROL!$C$15, $D$11, 100%, $F$11)</f>
        <v>8.4131</v>
      </c>
      <c r="J290" s="4">
        <f>CHOOSE( CONTROL!$C$32, 8.2898, 8.2888) * CHOOSE(CONTROL!$C$15, $D$11, 100%, $F$11)</f>
        <v>8.2897999999999996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1.2927</v>
      </c>
      <c r="Q290" s="9">
        <v>30.580300000000001</v>
      </c>
      <c r="R290" s="9"/>
      <c r="S290" s="11"/>
    </row>
    <row r="291" spans="1:19" ht="15.75">
      <c r="A291" s="14">
        <v>49980</v>
      </c>
      <c r="B291" s="8">
        <f>CHOOSE( CONTROL!$C$32, 9.2214, 9.2203) * CHOOSE(CONTROL!$C$15, $D$11, 100%, $F$11)</f>
        <v>9.2213999999999992</v>
      </c>
      <c r="C291" s="8">
        <f>CHOOSE( CONTROL!$C$32, 9.2264, 9.2254) * CHOOSE(CONTROL!$C$15, $D$11, 100%, $F$11)</f>
        <v>9.2263999999999999</v>
      </c>
      <c r="D291" s="8">
        <f>CHOOSE( CONTROL!$C$32, 9.2086, 9.2075) * CHOOSE( CONTROL!$C$15, $D$11, 100%, $F$11)</f>
        <v>9.2086000000000006</v>
      </c>
      <c r="E291" s="12">
        <f>CHOOSE( CONTROL!$C$32, 9.2146, 9.2135) * CHOOSE( CONTROL!$C$15, $D$11, 100%, $F$11)</f>
        <v>9.2146000000000008</v>
      </c>
      <c r="F291" s="4">
        <f>CHOOSE( CONTROL!$C$32, 9.8866, 9.8856) * CHOOSE(CONTROL!$C$15, $D$11, 100%, $F$11)</f>
        <v>9.8865999999999996</v>
      </c>
      <c r="G291" s="8">
        <f>CHOOSE( CONTROL!$C$32, 9.125, 9.1239) * CHOOSE( CONTROL!$C$15, $D$11, 100%, $F$11)</f>
        <v>9.125</v>
      </c>
      <c r="H291" s="4">
        <f>CHOOSE( CONTROL!$C$32, 10.0175, 10.0164) * CHOOSE(CONTROL!$C$15, $D$11, 100%, $F$11)</f>
        <v>10.0175</v>
      </c>
      <c r="I291" s="8">
        <f>CHOOSE( CONTROL!$C$32, 9.1259, 9.1248) * CHOOSE(CONTROL!$C$15, $D$11, 100%, $F$11)</f>
        <v>9.1258999999999997</v>
      </c>
      <c r="J291" s="4">
        <f>CHOOSE( CONTROL!$C$32, 8.9406, 8.9395) * CHOOSE(CONTROL!$C$15, $D$11, 100%, $F$11)</f>
        <v>8.9405999999999999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29.593800000000002</v>
      </c>
      <c r="R291" s="9"/>
      <c r="S291" s="11"/>
    </row>
    <row r="292" spans="1:19" ht="15.75">
      <c r="A292" s="14">
        <v>50010</v>
      </c>
      <c r="B292" s="8">
        <f>CHOOSE( CONTROL!$C$32, 9.2046, 9.2035) * CHOOSE(CONTROL!$C$15, $D$11, 100%, $F$11)</f>
        <v>9.2045999999999992</v>
      </c>
      <c r="C292" s="8">
        <f>CHOOSE( CONTROL!$C$32, 9.2097, 9.2086) * CHOOSE(CONTROL!$C$15, $D$11, 100%, $F$11)</f>
        <v>9.2096999999999998</v>
      </c>
      <c r="D292" s="8">
        <f>CHOOSE( CONTROL!$C$32, 9.1933, 9.1922) * CHOOSE( CONTROL!$C$15, $D$11, 100%, $F$11)</f>
        <v>9.1933000000000007</v>
      </c>
      <c r="E292" s="12">
        <f>CHOOSE( CONTROL!$C$32, 9.1988, 9.1977) * CHOOSE( CONTROL!$C$15, $D$11, 100%, $F$11)</f>
        <v>9.1988000000000003</v>
      </c>
      <c r="F292" s="4">
        <f>CHOOSE( CONTROL!$C$32, 9.8699, 9.8688) * CHOOSE(CONTROL!$C$15, $D$11, 100%, $F$11)</f>
        <v>9.8698999999999995</v>
      </c>
      <c r="G292" s="8">
        <f>CHOOSE( CONTROL!$C$32, 9.1094, 9.1084) * CHOOSE( CONTROL!$C$15, $D$11, 100%, $F$11)</f>
        <v>9.1094000000000008</v>
      </c>
      <c r="H292" s="4">
        <f>CHOOSE( CONTROL!$C$32, 10.001, 9.9999) * CHOOSE(CONTROL!$C$15, $D$11, 100%, $F$11)</f>
        <v>10.000999999999999</v>
      </c>
      <c r="I292" s="8">
        <f>CHOOSE( CONTROL!$C$32, 9.1141, 9.113) * CHOOSE(CONTROL!$C$15, $D$11, 100%, $F$11)</f>
        <v>9.1141000000000005</v>
      </c>
      <c r="J292" s="4">
        <f>CHOOSE( CONTROL!$C$32, 8.9243, 8.9233) * CHOOSE(CONTROL!$C$15, $D$11, 100%, $F$11)</f>
        <v>8.9243000000000006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30.580300000000001</v>
      </c>
      <c r="R292" s="9"/>
      <c r="S292" s="11"/>
    </row>
    <row r="293" spans="1:19" ht="15.75">
      <c r="A293" s="14">
        <v>50041</v>
      </c>
      <c r="B293" s="8">
        <f>CHOOSE( CONTROL!$C$32, 9.4758, 9.4747) * CHOOSE(CONTROL!$C$15, $D$11, 100%, $F$11)</f>
        <v>9.4757999999999996</v>
      </c>
      <c r="C293" s="8">
        <f>CHOOSE( CONTROL!$C$32, 9.4809, 9.4798) * CHOOSE(CONTROL!$C$15, $D$11, 100%, $F$11)</f>
        <v>9.4809000000000001</v>
      </c>
      <c r="D293" s="8">
        <f>CHOOSE( CONTROL!$C$32, 9.4596, 9.4585) * CHOOSE( CONTROL!$C$15, $D$11, 100%, $F$11)</f>
        <v>9.4596</v>
      </c>
      <c r="E293" s="12">
        <f>CHOOSE( CONTROL!$C$32, 9.4668, 9.4657) * CHOOSE( CONTROL!$C$15, $D$11, 100%, $F$11)</f>
        <v>9.4667999999999992</v>
      </c>
      <c r="F293" s="4">
        <f>CHOOSE( CONTROL!$C$32, 10.1411, 10.14) * CHOOSE(CONTROL!$C$15, $D$11, 100%, $F$11)</f>
        <v>10.1411</v>
      </c>
      <c r="G293" s="8">
        <f>CHOOSE( CONTROL!$C$32, 9.367, 9.3659) * CHOOSE( CONTROL!$C$15, $D$11, 100%, $F$11)</f>
        <v>9.3670000000000009</v>
      </c>
      <c r="H293" s="4">
        <f>CHOOSE( CONTROL!$C$32, 10.269, 10.2679) * CHOOSE(CONTROL!$C$15, $D$11, 100%, $F$11)</f>
        <v>10.269</v>
      </c>
      <c r="I293" s="8">
        <f>CHOOSE( CONTROL!$C$32, 9.3395, 9.3384) * CHOOSE(CONTROL!$C$15, $D$11, 100%, $F$11)</f>
        <v>9.3394999999999992</v>
      </c>
      <c r="J293" s="4">
        <f>CHOOSE( CONTROL!$C$32, 9.1875, 9.1865) * CHOOSE(CONTROL!$C$15, $D$11, 100%, $F$11)</f>
        <v>9.1875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30.5152</v>
      </c>
      <c r="R293" s="9"/>
      <c r="S293" s="11"/>
    </row>
    <row r="294" spans="1:19" ht="15.75">
      <c r="A294" s="14">
        <v>50072</v>
      </c>
      <c r="B294" s="8">
        <f>CHOOSE( CONTROL!$C$32, 8.8639, 8.8628) * CHOOSE(CONTROL!$C$15, $D$11, 100%, $F$11)</f>
        <v>8.8638999999999992</v>
      </c>
      <c r="C294" s="8">
        <f>CHOOSE( CONTROL!$C$32, 8.869, 8.8679) * CHOOSE(CONTROL!$C$15, $D$11, 100%, $F$11)</f>
        <v>8.8689999999999998</v>
      </c>
      <c r="D294" s="8">
        <f>CHOOSE( CONTROL!$C$32, 8.8475, 8.8465) * CHOOSE( CONTROL!$C$15, $D$11, 100%, $F$11)</f>
        <v>8.8475000000000001</v>
      </c>
      <c r="E294" s="12">
        <f>CHOOSE( CONTROL!$C$32, 8.8548, 8.8538) * CHOOSE( CONTROL!$C$15, $D$11, 100%, $F$11)</f>
        <v>8.8547999999999991</v>
      </c>
      <c r="F294" s="4">
        <f>CHOOSE( CONTROL!$C$32, 9.5292, 9.5281) * CHOOSE(CONTROL!$C$15, $D$11, 100%, $F$11)</f>
        <v>9.5291999999999994</v>
      </c>
      <c r="G294" s="8">
        <f>CHOOSE( CONTROL!$C$32, 8.7621, 8.761) * CHOOSE( CONTROL!$C$15, $D$11, 100%, $F$11)</f>
        <v>8.7621000000000002</v>
      </c>
      <c r="H294" s="4">
        <f>CHOOSE( CONTROL!$C$32, 9.6642, 9.6631) * CHOOSE(CONTROL!$C$15, $D$11, 100%, $F$11)</f>
        <v>9.6641999999999992</v>
      </c>
      <c r="I294" s="8">
        <f>CHOOSE( CONTROL!$C$32, 8.7449, 8.7438) * CHOOSE(CONTROL!$C$15, $D$11, 100%, $F$11)</f>
        <v>8.7448999999999995</v>
      </c>
      <c r="J294" s="4">
        <f>CHOOSE( CONTROL!$C$32, 8.5936, 8.5926) * CHOOSE(CONTROL!$C$15, $D$11, 100%, $F$11)</f>
        <v>8.5936000000000003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27.562100000000001</v>
      </c>
      <c r="R294" s="9"/>
      <c r="S294" s="11"/>
    </row>
    <row r="295" spans="1:19" ht="15.75">
      <c r="A295" s="14">
        <v>50100</v>
      </c>
      <c r="B295" s="8">
        <f>CHOOSE( CONTROL!$C$32, 8.6754, 8.6743) * CHOOSE(CONTROL!$C$15, $D$11, 100%, $F$11)</f>
        <v>8.6753999999999998</v>
      </c>
      <c r="C295" s="8">
        <f>CHOOSE( CONTROL!$C$32, 8.6805, 8.6794) * CHOOSE(CONTROL!$C$15, $D$11, 100%, $F$11)</f>
        <v>8.6805000000000003</v>
      </c>
      <c r="D295" s="8">
        <f>CHOOSE( CONTROL!$C$32, 8.6584, 8.6573) * CHOOSE( CONTROL!$C$15, $D$11, 100%, $F$11)</f>
        <v>8.6584000000000003</v>
      </c>
      <c r="E295" s="12">
        <f>CHOOSE( CONTROL!$C$32, 8.6659, 8.6648) * CHOOSE( CONTROL!$C$15, $D$11, 100%, $F$11)</f>
        <v>8.6659000000000006</v>
      </c>
      <c r="F295" s="4">
        <f>CHOOSE( CONTROL!$C$32, 9.3407, 9.3396) * CHOOSE(CONTROL!$C$15, $D$11, 100%, $F$11)</f>
        <v>9.3407</v>
      </c>
      <c r="G295" s="8">
        <f>CHOOSE( CONTROL!$C$32, 8.5754, 8.5743) * CHOOSE( CONTROL!$C$15, $D$11, 100%, $F$11)</f>
        <v>8.5754000000000001</v>
      </c>
      <c r="H295" s="4">
        <f>CHOOSE( CONTROL!$C$32, 9.4779, 9.4769) * CHOOSE(CONTROL!$C$15, $D$11, 100%, $F$11)</f>
        <v>9.4779</v>
      </c>
      <c r="I295" s="8">
        <f>CHOOSE( CONTROL!$C$32, 8.5599, 8.5588) * CHOOSE(CONTROL!$C$15, $D$11, 100%, $F$11)</f>
        <v>8.5599000000000007</v>
      </c>
      <c r="J295" s="4">
        <f>CHOOSE( CONTROL!$C$32, 8.4107, 8.4097) * CHOOSE(CONTROL!$C$15, $D$11, 100%, $F$11)</f>
        <v>8.4107000000000003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30.5152</v>
      </c>
      <c r="R295" s="9"/>
      <c r="S295" s="11"/>
    </row>
    <row r="296" spans="1:19" ht="15.75">
      <c r="A296" s="14">
        <v>50131</v>
      </c>
      <c r="B296" s="8">
        <f>CHOOSE( CONTROL!$C$32, 8.8079, 8.8068) * CHOOSE(CONTROL!$C$15, $D$11, 100%, $F$11)</f>
        <v>8.8079000000000001</v>
      </c>
      <c r="C296" s="8">
        <f>CHOOSE( CONTROL!$C$32, 8.8124, 8.8113) * CHOOSE(CONTROL!$C$15, $D$11, 100%, $F$11)</f>
        <v>8.8124000000000002</v>
      </c>
      <c r="D296" s="8">
        <f>CHOOSE( CONTROL!$C$32, 8.8152, 8.8141) * CHOOSE( CONTROL!$C$15, $D$11, 100%, $F$11)</f>
        <v>8.8152000000000008</v>
      </c>
      <c r="E296" s="12">
        <f>CHOOSE( CONTROL!$C$32, 8.8138, 8.8127) * CHOOSE( CONTROL!$C$15, $D$11, 100%, $F$11)</f>
        <v>8.8138000000000005</v>
      </c>
      <c r="F296" s="4">
        <f>CHOOSE( CONTROL!$C$32, 9.5162, 9.5151) * CHOOSE(CONTROL!$C$15, $D$11, 100%, $F$11)</f>
        <v>9.5161999999999995</v>
      </c>
      <c r="G296" s="8">
        <f>CHOOSE( CONTROL!$C$32, 8.716, 8.7149) * CHOOSE( CONTROL!$C$15, $D$11, 100%, $F$11)</f>
        <v>8.7159999999999993</v>
      </c>
      <c r="H296" s="4">
        <f>CHOOSE( CONTROL!$C$32, 9.6514, 9.6503) * CHOOSE(CONTROL!$C$15, $D$11, 100%, $F$11)</f>
        <v>9.6514000000000006</v>
      </c>
      <c r="I296" s="8">
        <f>CHOOSE( CONTROL!$C$32, 8.66, 8.659) * CHOOSE(CONTROL!$C$15, $D$11, 100%, $F$11)</f>
        <v>8.66</v>
      </c>
      <c r="J296" s="4">
        <f>CHOOSE( CONTROL!$C$32, 8.5385, 8.5375) * CHOOSE(CONTROL!$C$15, $D$11, 100%, $F$11)</f>
        <v>8.5385000000000009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1.2509999999999999</v>
      </c>
      <c r="Q296" s="9">
        <v>29.530799999999999</v>
      </c>
      <c r="R296" s="9"/>
      <c r="S296" s="11"/>
    </row>
    <row r="297" spans="1:19" ht="15.75">
      <c r="A297" s="14">
        <v>50161</v>
      </c>
      <c r="B297" s="8">
        <f>CHOOSE( CONTROL!$C$32, 9.0442, 9.0426) * CHOOSE(CONTROL!$C$15, $D$11, 100%, $F$11)</f>
        <v>9.0442</v>
      </c>
      <c r="C297" s="8">
        <f>CHOOSE( CONTROL!$C$32, 9.0522, 9.0505) * CHOOSE(CONTROL!$C$15, $D$11, 100%, $F$11)</f>
        <v>9.0521999999999991</v>
      </c>
      <c r="D297" s="8">
        <f>CHOOSE( CONTROL!$C$32, 9.0489, 9.0473) * CHOOSE( CONTROL!$C$15, $D$11, 100%, $F$11)</f>
        <v>9.0488999999999997</v>
      </c>
      <c r="E297" s="12">
        <f>CHOOSE( CONTROL!$C$32, 9.0489, 9.0473) * CHOOSE( CONTROL!$C$15, $D$11, 100%, $F$11)</f>
        <v>9.0488999999999997</v>
      </c>
      <c r="F297" s="4">
        <f>CHOOSE( CONTROL!$C$32, 9.7512, 9.7495) * CHOOSE(CONTROL!$C$15, $D$11, 100%, $F$11)</f>
        <v>9.7512000000000008</v>
      </c>
      <c r="G297" s="8">
        <f>CHOOSE( CONTROL!$C$32, 8.9481, 8.9465) * CHOOSE( CONTROL!$C$15, $D$11, 100%, $F$11)</f>
        <v>8.9481000000000002</v>
      </c>
      <c r="H297" s="4">
        <f>CHOOSE( CONTROL!$C$32, 9.8836, 9.882) * CHOOSE(CONTROL!$C$15, $D$11, 100%, $F$11)</f>
        <v>9.8835999999999995</v>
      </c>
      <c r="I297" s="8">
        <f>CHOOSE( CONTROL!$C$32, 8.8874, 8.8858) * CHOOSE(CONTROL!$C$15, $D$11, 100%, $F$11)</f>
        <v>8.8873999999999995</v>
      </c>
      <c r="J297" s="4">
        <f>CHOOSE( CONTROL!$C$32, 8.7666, 8.765) * CHOOSE(CONTROL!$C$15, $D$11, 100%, $F$11)</f>
        <v>8.7666000000000004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1.2927</v>
      </c>
      <c r="Q297" s="9">
        <v>30.5152</v>
      </c>
      <c r="R297" s="9"/>
      <c r="S297" s="11"/>
    </row>
    <row r="298" spans="1:19" ht="15.75">
      <c r="A298" s="14">
        <v>50192</v>
      </c>
      <c r="B298" s="8">
        <f>CHOOSE( CONTROL!$C$32, 8.899, 8.8974) * CHOOSE(CONTROL!$C$15, $D$11, 100%, $F$11)</f>
        <v>8.8989999999999991</v>
      </c>
      <c r="C298" s="8">
        <f>CHOOSE( CONTROL!$C$32, 8.907, 8.9053) * CHOOSE(CONTROL!$C$15, $D$11, 100%, $F$11)</f>
        <v>8.907</v>
      </c>
      <c r="D298" s="8">
        <f>CHOOSE( CONTROL!$C$32, 8.9039, 8.9023) * CHOOSE( CONTROL!$C$15, $D$11, 100%, $F$11)</f>
        <v>8.9039000000000001</v>
      </c>
      <c r="E298" s="12">
        <f>CHOOSE( CONTROL!$C$32, 8.9038, 8.9022) * CHOOSE( CONTROL!$C$15, $D$11, 100%, $F$11)</f>
        <v>8.9038000000000004</v>
      </c>
      <c r="F298" s="4">
        <f>CHOOSE( CONTROL!$C$32, 9.606, 9.6043) * CHOOSE(CONTROL!$C$15, $D$11, 100%, $F$11)</f>
        <v>9.6059999999999999</v>
      </c>
      <c r="G298" s="8">
        <f>CHOOSE( CONTROL!$C$32, 8.8048, 8.8031) * CHOOSE( CONTROL!$C$15, $D$11, 100%, $F$11)</f>
        <v>8.8048000000000002</v>
      </c>
      <c r="H298" s="4">
        <f>CHOOSE( CONTROL!$C$32, 9.7401, 9.7385) * CHOOSE(CONTROL!$C$15, $D$11, 100%, $F$11)</f>
        <v>9.7401</v>
      </c>
      <c r="I298" s="8">
        <f>CHOOSE( CONTROL!$C$32, 8.7472, 8.7456) * CHOOSE(CONTROL!$C$15, $D$11, 100%, $F$11)</f>
        <v>8.7471999999999994</v>
      </c>
      <c r="J298" s="4">
        <f>CHOOSE( CONTROL!$C$32, 8.6257, 8.6241) * CHOOSE(CONTROL!$C$15, $D$11, 100%, $F$11)</f>
        <v>8.6257000000000001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1.2509999999999999</v>
      </c>
      <c r="Q298" s="9">
        <v>29.530799999999999</v>
      </c>
      <c r="R298" s="9"/>
      <c r="S298" s="11"/>
    </row>
    <row r="299" spans="1:19" ht="15.75">
      <c r="A299" s="14">
        <v>50222</v>
      </c>
      <c r="B299" s="8">
        <f>CHOOSE( CONTROL!$C$32, 9.2814, 9.2797) * CHOOSE(CONTROL!$C$15, $D$11, 100%, $F$11)</f>
        <v>9.2813999999999997</v>
      </c>
      <c r="C299" s="8">
        <f>CHOOSE( CONTROL!$C$32, 9.2894, 9.2877) * CHOOSE(CONTROL!$C$15, $D$11, 100%, $F$11)</f>
        <v>9.2894000000000005</v>
      </c>
      <c r="D299" s="8">
        <f>CHOOSE( CONTROL!$C$32, 9.2866, 9.2849) * CHOOSE( CONTROL!$C$15, $D$11, 100%, $F$11)</f>
        <v>9.2866</v>
      </c>
      <c r="E299" s="12">
        <f>CHOOSE( CONTROL!$C$32, 9.2864, 9.2847) * CHOOSE( CONTROL!$C$15, $D$11, 100%, $F$11)</f>
        <v>9.2864000000000004</v>
      </c>
      <c r="F299" s="4">
        <f>CHOOSE( CONTROL!$C$32, 9.9883, 9.9867) * CHOOSE(CONTROL!$C$15, $D$11, 100%, $F$11)</f>
        <v>9.9883000000000006</v>
      </c>
      <c r="G299" s="8">
        <f>CHOOSE( CONTROL!$C$32, 9.1829, 9.1812) * CHOOSE( CONTROL!$C$15, $D$11, 100%, $F$11)</f>
        <v>9.1829000000000001</v>
      </c>
      <c r="H299" s="4">
        <f>CHOOSE( CONTROL!$C$32, 10.118, 10.1164) * CHOOSE(CONTROL!$C$15, $D$11, 100%, $F$11)</f>
        <v>10.118</v>
      </c>
      <c r="I299" s="8">
        <f>CHOOSE( CONTROL!$C$32, 9.1194, 9.1177) * CHOOSE(CONTROL!$C$15, $D$11, 100%, $F$11)</f>
        <v>9.1194000000000006</v>
      </c>
      <c r="J299" s="4">
        <f>CHOOSE( CONTROL!$C$32, 8.9968, 8.9952) * CHOOSE(CONTROL!$C$15, $D$11, 100%, $F$11)</f>
        <v>8.9968000000000004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1.2927</v>
      </c>
      <c r="Q299" s="9">
        <v>30.5152</v>
      </c>
      <c r="R299" s="9"/>
      <c r="S299" s="11"/>
    </row>
    <row r="300" spans="1:19" ht="15.75">
      <c r="A300" s="14">
        <v>50253</v>
      </c>
      <c r="B300" s="8">
        <f>CHOOSE( CONTROL!$C$32, 8.5659, 8.5643) * CHOOSE(CONTROL!$C$15, $D$11, 100%, $F$11)</f>
        <v>8.5658999999999992</v>
      </c>
      <c r="C300" s="8">
        <f>CHOOSE( CONTROL!$C$32, 8.5739, 8.5722) * CHOOSE(CONTROL!$C$15, $D$11, 100%, $F$11)</f>
        <v>8.5739000000000001</v>
      </c>
      <c r="D300" s="8">
        <f>CHOOSE( CONTROL!$C$32, 8.5712, 8.5695) * CHOOSE( CONTROL!$C$15, $D$11, 100%, $F$11)</f>
        <v>8.5711999999999993</v>
      </c>
      <c r="E300" s="12">
        <f>CHOOSE( CONTROL!$C$32, 8.571, 8.5693) * CHOOSE( CONTROL!$C$15, $D$11, 100%, $F$11)</f>
        <v>8.5709999999999997</v>
      </c>
      <c r="F300" s="4">
        <f>CHOOSE( CONTROL!$C$32, 9.2729, 9.2712) * CHOOSE(CONTROL!$C$15, $D$11, 100%, $F$11)</f>
        <v>9.2728999999999999</v>
      </c>
      <c r="G300" s="8">
        <f>CHOOSE( CONTROL!$C$32, 8.4759, 8.4742) * CHOOSE( CONTROL!$C$15, $D$11, 100%, $F$11)</f>
        <v>8.4758999999999993</v>
      </c>
      <c r="H300" s="4">
        <f>CHOOSE( CONTROL!$C$32, 9.4109, 9.4093) * CHOOSE(CONTROL!$C$15, $D$11, 100%, $F$11)</f>
        <v>9.4108999999999998</v>
      </c>
      <c r="I300" s="8">
        <f>CHOOSE( CONTROL!$C$32, 8.425, 8.4234) * CHOOSE(CONTROL!$C$15, $D$11, 100%, $F$11)</f>
        <v>8.4250000000000007</v>
      </c>
      <c r="J300" s="4">
        <f>CHOOSE( CONTROL!$C$32, 8.3024, 8.3008) * CHOOSE(CONTROL!$C$15, $D$11, 100%, $F$11)</f>
        <v>8.3024000000000004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1.2927</v>
      </c>
      <c r="Q300" s="9">
        <v>30.5152</v>
      </c>
      <c r="R300" s="9"/>
      <c r="S300" s="11"/>
    </row>
    <row r="301" spans="1:19" ht="15.75">
      <c r="A301" s="14">
        <v>50284</v>
      </c>
      <c r="B301" s="8">
        <f>CHOOSE( CONTROL!$C$32, 8.3868, 8.3851) * CHOOSE(CONTROL!$C$15, $D$11, 100%, $F$11)</f>
        <v>8.3867999999999991</v>
      </c>
      <c r="C301" s="8">
        <f>CHOOSE( CONTROL!$C$32, 8.3947, 8.3931) * CHOOSE(CONTROL!$C$15, $D$11, 100%, $F$11)</f>
        <v>8.3947000000000003</v>
      </c>
      <c r="D301" s="8">
        <f>CHOOSE( CONTROL!$C$32, 8.392, 8.3903) * CHOOSE( CONTROL!$C$15, $D$11, 100%, $F$11)</f>
        <v>8.3919999999999995</v>
      </c>
      <c r="E301" s="12">
        <f>CHOOSE( CONTROL!$C$32, 8.3918, 8.3901) * CHOOSE( CONTROL!$C$15, $D$11, 100%, $F$11)</f>
        <v>8.3917999999999999</v>
      </c>
      <c r="F301" s="4">
        <f>CHOOSE( CONTROL!$C$32, 9.0937, 9.092) * CHOOSE(CONTROL!$C$15, $D$11, 100%, $F$11)</f>
        <v>9.0937000000000001</v>
      </c>
      <c r="G301" s="8">
        <f>CHOOSE( CONTROL!$C$32, 8.2988, 8.2971) * CHOOSE( CONTROL!$C$15, $D$11, 100%, $F$11)</f>
        <v>8.2988</v>
      </c>
      <c r="H301" s="4">
        <f>CHOOSE( CONTROL!$C$32, 9.2338, 9.2322) * CHOOSE(CONTROL!$C$15, $D$11, 100%, $F$11)</f>
        <v>9.2338000000000005</v>
      </c>
      <c r="I301" s="8">
        <f>CHOOSE( CONTROL!$C$32, 8.2509, 8.2492) * CHOOSE(CONTROL!$C$15, $D$11, 100%, $F$11)</f>
        <v>8.2508999999999997</v>
      </c>
      <c r="J301" s="4">
        <f>CHOOSE( CONTROL!$C$32, 8.1285, 8.1269) * CHOOSE(CONTROL!$C$15, $D$11, 100%, $F$11)</f>
        <v>8.1285000000000007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1.2509999999999999</v>
      </c>
      <c r="Q301" s="9">
        <v>29.530799999999999</v>
      </c>
      <c r="R301" s="9"/>
      <c r="S301" s="11"/>
    </row>
    <row r="302" spans="1:19" ht="15.75">
      <c r="A302" s="14">
        <v>50314</v>
      </c>
      <c r="B302" s="8">
        <f>CHOOSE( CONTROL!$C$32, 8.7565, 8.7554) * CHOOSE(CONTROL!$C$15, $D$11, 100%, $F$11)</f>
        <v>8.7565000000000008</v>
      </c>
      <c r="C302" s="8">
        <f>CHOOSE( CONTROL!$C$32, 8.7618, 8.7607) * CHOOSE(CONTROL!$C$15, $D$11, 100%, $F$11)</f>
        <v>8.7617999999999991</v>
      </c>
      <c r="D302" s="8">
        <f>CHOOSE( CONTROL!$C$32, 8.7647, 8.7636) * CHOOSE( CONTROL!$C$15, $D$11, 100%, $F$11)</f>
        <v>8.7646999999999995</v>
      </c>
      <c r="E302" s="12">
        <f>CHOOSE( CONTROL!$C$32, 8.7632, 8.7621) * CHOOSE( CONTROL!$C$15, $D$11, 100%, $F$11)</f>
        <v>8.7631999999999994</v>
      </c>
      <c r="F302" s="4">
        <f>CHOOSE( CONTROL!$C$32, 9.4651, 9.464) * CHOOSE(CONTROL!$C$15, $D$11, 100%, $F$11)</f>
        <v>9.4650999999999996</v>
      </c>
      <c r="G302" s="8">
        <f>CHOOSE( CONTROL!$C$32, 8.666, 8.6649) * CHOOSE( CONTROL!$C$15, $D$11, 100%, $F$11)</f>
        <v>8.6660000000000004</v>
      </c>
      <c r="H302" s="4">
        <f>CHOOSE( CONTROL!$C$32, 9.6009, 9.5999) * CHOOSE(CONTROL!$C$15, $D$11, 100%, $F$11)</f>
        <v>9.6008999999999993</v>
      </c>
      <c r="I302" s="8">
        <f>CHOOSE( CONTROL!$C$32, 8.6123, 8.6113) * CHOOSE(CONTROL!$C$15, $D$11, 100%, $F$11)</f>
        <v>8.6122999999999994</v>
      </c>
      <c r="J302" s="4">
        <f>CHOOSE( CONTROL!$C$32, 8.489, 8.4879) * CHOOSE(CONTROL!$C$15, $D$11, 100%, $F$11)</f>
        <v>8.4890000000000008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1.2927</v>
      </c>
      <c r="Q302" s="9">
        <v>30.5152</v>
      </c>
      <c r="R302" s="9"/>
      <c r="S302" s="11"/>
    </row>
    <row r="303" spans="1:19" ht="15.75">
      <c r="A303" s="14">
        <v>50345</v>
      </c>
      <c r="B303" s="8">
        <f>CHOOSE( CONTROL!$C$32, 9.4427, 9.4416) * CHOOSE(CONTROL!$C$15, $D$11, 100%, $F$11)</f>
        <v>9.4427000000000003</v>
      </c>
      <c r="C303" s="8">
        <f>CHOOSE( CONTROL!$C$32, 9.4478, 9.4467) * CHOOSE(CONTROL!$C$15, $D$11, 100%, $F$11)</f>
        <v>9.4478000000000009</v>
      </c>
      <c r="D303" s="8">
        <f>CHOOSE( CONTROL!$C$32, 9.4299, 9.4289) * CHOOSE( CONTROL!$C$15, $D$11, 100%, $F$11)</f>
        <v>9.4298999999999999</v>
      </c>
      <c r="E303" s="12">
        <f>CHOOSE( CONTROL!$C$32, 9.4359, 9.4349) * CHOOSE( CONTROL!$C$15, $D$11, 100%, $F$11)</f>
        <v>9.4359000000000002</v>
      </c>
      <c r="F303" s="4">
        <f>CHOOSE( CONTROL!$C$32, 10.108, 10.1069) * CHOOSE(CONTROL!$C$15, $D$11, 100%, $F$11)</f>
        <v>10.108000000000001</v>
      </c>
      <c r="G303" s="8">
        <f>CHOOSE( CONTROL!$C$32, 9.3437, 9.3426) * CHOOSE( CONTROL!$C$15, $D$11, 100%, $F$11)</f>
        <v>9.3437000000000001</v>
      </c>
      <c r="H303" s="4">
        <f>CHOOSE( CONTROL!$C$32, 10.2362, 10.2352) * CHOOSE(CONTROL!$C$15, $D$11, 100%, $F$11)</f>
        <v>10.2362</v>
      </c>
      <c r="I303" s="8">
        <f>CHOOSE( CONTROL!$C$32, 9.3408, 9.3397) * CHOOSE(CONTROL!$C$15, $D$11, 100%, $F$11)</f>
        <v>9.3407999999999998</v>
      </c>
      <c r="J303" s="4">
        <f>CHOOSE( CONTROL!$C$32, 9.1554, 9.1543) * CHOOSE(CONTROL!$C$15, $D$11, 100%, $F$11)</f>
        <v>9.1554000000000002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29.530799999999999</v>
      </c>
      <c r="R303" s="9"/>
      <c r="S303" s="11"/>
    </row>
    <row r="304" spans="1:19" ht="15.75">
      <c r="A304" s="14">
        <v>50375</v>
      </c>
      <c r="B304" s="8">
        <f>CHOOSE( CONTROL!$C$32, 9.4255, 9.4245) * CHOOSE(CONTROL!$C$15, $D$11, 100%, $F$11)</f>
        <v>9.4254999999999995</v>
      </c>
      <c r="C304" s="8">
        <f>CHOOSE( CONTROL!$C$32, 9.4306, 9.4295) * CHOOSE(CONTROL!$C$15, $D$11, 100%, $F$11)</f>
        <v>9.4306000000000001</v>
      </c>
      <c r="D304" s="8">
        <f>CHOOSE( CONTROL!$C$32, 9.4142, 9.4131) * CHOOSE( CONTROL!$C$15, $D$11, 100%, $F$11)</f>
        <v>9.4141999999999992</v>
      </c>
      <c r="E304" s="12">
        <f>CHOOSE( CONTROL!$C$32, 9.4197, 9.4186) * CHOOSE( CONTROL!$C$15, $D$11, 100%, $F$11)</f>
        <v>9.4197000000000006</v>
      </c>
      <c r="F304" s="4">
        <f>CHOOSE( CONTROL!$C$32, 10.0908, 10.0897) * CHOOSE(CONTROL!$C$15, $D$11, 100%, $F$11)</f>
        <v>10.0908</v>
      </c>
      <c r="G304" s="8">
        <f>CHOOSE( CONTROL!$C$32, 9.3278, 9.3267) * CHOOSE( CONTROL!$C$15, $D$11, 100%, $F$11)</f>
        <v>9.3277999999999999</v>
      </c>
      <c r="H304" s="4">
        <f>CHOOSE( CONTROL!$C$32, 10.2193, 10.2182) * CHOOSE(CONTROL!$C$15, $D$11, 100%, $F$11)</f>
        <v>10.2193</v>
      </c>
      <c r="I304" s="8">
        <f>CHOOSE( CONTROL!$C$32, 9.3286, 9.3275) * CHOOSE(CONTROL!$C$15, $D$11, 100%, $F$11)</f>
        <v>9.3285999999999998</v>
      </c>
      <c r="J304" s="4">
        <f>CHOOSE( CONTROL!$C$32, 9.1387, 9.1377) * CHOOSE(CONTROL!$C$15, $D$11, 100%, $F$11)</f>
        <v>9.1387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30.5152</v>
      </c>
      <c r="R304" s="9"/>
      <c r="S304" s="11"/>
    </row>
    <row r="305" spans="1:19" ht="15.75">
      <c r="A305" s="13">
        <v>50436</v>
      </c>
      <c r="B305" s="8">
        <f>CHOOSE( CONTROL!$C$32, 9.7033, 9.7022) * CHOOSE(CONTROL!$C$15, $D$11, 100%, $F$11)</f>
        <v>9.7033000000000005</v>
      </c>
      <c r="C305" s="8">
        <f>CHOOSE( CONTROL!$C$32, 9.7083, 9.7073) * CHOOSE(CONTROL!$C$15, $D$11, 100%, $F$11)</f>
        <v>9.7082999999999995</v>
      </c>
      <c r="D305" s="8">
        <f>CHOOSE( CONTROL!$C$32, 9.687, 9.686) * CHOOSE( CONTROL!$C$15, $D$11, 100%, $F$11)</f>
        <v>9.6869999999999994</v>
      </c>
      <c r="E305" s="12">
        <f>CHOOSE( CONTROL!$C$32, 9.6943, 9.6932) * CHOOSE( CONTROL!$C$15, $D$11, 100%, $F$11)</f>
        <v>9.6943000000000001</v>
      </c>
      <c r="F305" s="4">
        <f>CHOOSE( CONTROL!$C$32, 10.3685, 10.3675) * CHOOSE(CONTROL!$C$15, $D$11, 100%, $F$11)</f>
        <v>10.368499999999999</v>
      </c>
      <c r="G305" s="8">
        <f>CHOOSE( CONTROL!$C$32, 9.5917, 9.5907) * CHOOSE( CONTROL!$C$15, $D$11, 100%, $F$11)</f>
        <v>9.5916999999999994</v>
      </c>
      <c r="H305" s="4">
        <f>CHOOSE( CONTROL!$C$32, 10.4938, 10.4927) * CHOOSE(CONTROL!$C$15, $D$11, 100%, $F$11)</f>
        <v>10.4938</v>
      </c>
      <c r="I305" s="8">
        <f>CHOOSE( CONTROL!$C$32, 9.5603, 9.5592) * CHOOSE(CONTROL!$C$15, $D$11, 100%, $F$11)</f>
        <v>9.5602999999999998</v>
      </c>
      <c r="J305" s="4">
        <f>CHOOSE( CONTROL!$C$32, 9.4083, 9.4072) * CHOOSE(CONTROL!$C$15, $D$11, 100%, $F$11)</f>
        <v>9.4083000000000006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30.451899999999998</v>
      </c>
      <c r="R305" s="9"/>
      <c r="S305" s="11"/>
    </row>
    <row r="306" spans="1:19" ht="15.75">
      <c r="A306" s="13">
        <v>50464</v>
      </c>
      <c r="B306" s="8">
        <f>CHOOSE( CONTROL!$C$32, 9.0766, 9.0755) * CHOOSE(CONTROL!$C$15, $D$11, 100%, $F$11)</f>
        <v>9.0765999999999991</v>
      </c>
      <c r="C306" s="8">
        <f>CHOOSE( CONTROL!$C$32, 9.0817, 9.0806) * CHOOSE(CONTROL!$C$15, $D$11, 100%, $F$11)</f>
        <v>9.0816999999999997</v>
      </c>
      <c r="D306" s="8">
        <f>CHOOSE( CONTROL!$C$32, 9.0603, 9.0592) * CHOOSE( CONTROL!$C$15, $D$11, 100%, $F$11)</f>
        <v>9.0602999999999998</v>
      </c>
      <c r="E306" s="12">
        <f>CHOOSE( CONTROL!$C$32, 9.0676, 9.0665) * CHOOSE( CONTROL!$C$15, $D$11, 100%, $F$11)</f>
        <v>9.0676000000000005</v>
      </c>
      <c r="F306" s="4">
        <f>CHOOSE( CONTROL!$C$32, 9.7419, 9.7408) * CHOOSE(CONTROL!$C$15, $D$11, 100%, $F$11)</f>
        <v>9.7418999999999993</v>
      </c>
      <c r="G306" s="8">
        <f>CHOOSE( CONTROL!$C$32, 8.9723, 8.9713) * CHOOSE( CONTROL!$C$15, $D$11, 100%, $F$11)</f>
        <v>8.9723000000000006</v>
      </c>
      <c r="H306" s="4">
        <f>CHOOSE( CONTROL!$C$32, 9.8745, 9.8734) * CHOOSE(CONTROL!$C$15, $D$11, 100%, $F$11)</f>
        <v>9.8744999999999994</v>
      </c>
      <c r="I306" s="8">
        <f>CHOOSE( CONTROL!$C$32, 8.9514, 8.9504) * CHOOSE(CONTROL!$C$15, $D$11, 100%, $F$11)</f>
        <v>8.9513999999999996</v>
      </c>
      <c r="J306" s="4">
        <f>CHOOSE( CONTROL!$C$32, 8.8001, 8.799) * CHOOSE(CONTROL!$C$15, $D$11, 100%, $F$11)</f>
        <v>8.8001000000000005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27.504999999999999</v>
      </c>
      <c r="R306" s="9"/>
      <c r="S306" s="11"/>
    </row>
    <row r="307" spans="1:19" ht="15.75">
      <c r="A307" s="13">
        <v>50495</v>
      </c>
      <c r="B307" s="8">
        <f>CHOOSE( CONTROL!$C$32, 8.8836, 8.8825) * CHOOSE(CONTROL!$C$15, $D$11, 100%, $F$11)</f>
        <v>8.8835999999999995</v>
      </c>
      <c r="C307" s="8">
        <f>CHOOSE( CONTROL!$C$32, 8.8887, 8.8876) * CHOOSE(CONTROL!$C$15, $D$11, 100%, $F$11)</f>
        <v>8.8887</v>
      </c>
      <c r="D307" s="8">
        <f>CHOOSE( CONTROL!$C$32, 8.8666, 8.8655) * CHOOSE( CONTROL!$C$15, $D$11, 100%, $F$11)</f>
        <v>8.8666</v>
      </c>
      <c r="E307" s="12">
        <f>CHOOSE( CONTROL!$C$32, 8.8741, 8.873) * CHOOSE( CONTROL!$C$15, $D$11, 100%, $F$11)</f>
        <v>8.8741000000000003</v>
      </c>
      <c r="F307" s="4">
        <f>CHOOSE( CONTROL!$C$32, 9.5489, 9.5478) * CHOOSE(CONTROL!$C$15, $D$11, 100%, $F$11)</f>
        <v>9.5488999999999997</v>
      </c>
      <c r="G307" s="8">
        <f>CHOOSE( CONTROL!$C$32, 8.7811, 8.7801) * CHOOSE( CONTROL!$C$15, $D$11, 100%, $F$11)</f>
        <v>8.7811000000000003</v>
      </c>
      <c r="H307" s="4">
        <f>CHOOSE( CONTROL!$C$32, 9.6837, 9.6826) * CHOOSE(CONTROL!$C$15, $D$11, 100%, $F$11)</f>
        <v>9.6837</v>
      </c>
      <c r="I307" s="8">
        <f>CHOOSE( CONTROL!$C$32, 8.762, 8.761) * CHOOSE(CONTROL!$C$15, $D$11, 100%, $F$11)</f>
        <v>8.7620000000000005</v>
      </c>
      <c r="J307" s="4">
        <f>CHOOSE( CONTROL!$C$32, 8.6128, 8.6117) * CHOOSE(CONTROL!$C$15, $D$11, 100%, $F$11)</f>
        <v>8.6128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30.451899999999998</v>
      </c>
      <c r="R307" s="9"/>
      <c r="S307" s="11"/>
    </row>
    <row r="308" spans="1:19" ht="15.75">
      <c r="A308" s="13">
        <v>50525</v>
      </c>
      <c r="B308" s="8">
        <f>CHOOSE( CONTROL!$C$32, 9.0192, 9.0182) * CHOOSE(CONTROL!$C$15, $D$11, 100%, $F$11)</f>
        <v>9.0191999999999997</v>
      </c>
      <c r="C308" s="8">
        <f>CHOOSE( CONTROL!$C$32, 9.0237, 9.0227) * CHOOSE(CONTROL!$C$15, $D$11, 100%, $F$11)</f>
        <v>9.0236999999999998</v>
      </c>
      <c r="D308" s="8">
        <f>CHOOSE( CONTROL!$C$32, 9.0266, 9.0255) * CHOOSE( CONTROL!$C$15, $D$11, 100%, $F$11)</f>
        <v>9.0266000000000002</v>
      </c>
      <c r="E308" s="12">
        <f>CHOOSE( CONTROL!$C$32, 9.0251, 9.0241) * CHOOSE( CONTROL!$C$15, $D$11, 100%, $F$11)</f>
        <v>9.0251000000000001</v>
      </c>
      <c r="F308" s="4">
        <f>CHOOSE( CONTROL!$C$32, 9.7276, 9.7265) * CHOOSE(CONTROL!$C$15, $D$11, 100%, $F$11)</f>
        <v>9.7276000000000007</v>
      </c>
      <c r="G308" s="8">
        <f>CHOOSE( CONTROL!$C$32, 8.9249, 8.9238) * CHOOSE( CONTROL!$C$15, $D$11, 100%, $F$11)</f>
        <v>8.9248999999999992</v>
      </c>
      <c r="H308" s="4">
        <f>CHOOSE( CONTROL!$C$32, 9.8603, 9.8592) * CHOOSE(CONTROL!$C$15, $D$11, 100%, $F$11)</f>
        <v>9.8603000000000005</v>
      </c>
      <c r="I308" s="8">
        <f>CHOOSE( CONTROL!$C$32, 8.8652, 8.8642) * CHOOSE(CONTROL!$C$15, $D$11, 100%, $F$11)</f>
        <v>8.8651999999999997</v>
      </c>
      <c r="J308" s="4">
        <f>CHOOSE( CONTROL!$C$32, 8.7437, 8.7426) * CHOOSE(CONTROL!$C$15, $D$11, 100%, $F$11)</f>
        <v>8.7437000000000005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1.2509999999999999</v>
      </c>
      <c r="Q308" s="9">
        <v>29.4696</v>
      </c>
      <c r="R308" s="9"/>
      <c r="S308" s="11"/>
    </row>
    <row r="309" spans="1:19" ht="15.75">
      <c r="A309" s="13">
        <v>50556</v>
      </c>
      <c r="B309" s="8">
        <f>CHOOSE( CONTROL!$C$32, 9.2612, 9.2596) * CHOOSE(CONTROL!$C$15, $D$11, 100%, $F$11)</f>
        <v>9.2612000000000005</v>
      </c>
      <c r="C309" s="8">
        <f>CHOOSE( CONTROL!$C$32, 9.2692, 9.2675) * CHOOSE(CONTROL!$C$15, $D$11, 100%, $F$11)</f>
        <v>9.2691999999999997</v>
      </c>
      <c r="D309" s="8">
        <f>CHOOSE( CONTROL!$C$32, 9.2659, 9.2643) * CHOOSE( CONTROL!$C$15, $D$11, 100%, $F$11)</f>
        <v>9.2659000000000002</v>
      </c>
      <c r="E309" s="12">
        <f>CHOOSE( CONTROL!$C$32, 9.2659, 9.2643) * CHOOSE( CONTROL!$C$15, $D$11, 100%, $F$11)</f>
        <v>9.2659000000000002</v>
      </c>
      <c r="F309" s="4">
        <f>CHOOSE( CONTROL!$C$32, 9.9682, 9.9665) * CHOOSE(CONTROL!$C$15, $D$11, 100%, $F$11)</f>
        <v>9.9681999999999995</v>
      </c>
      <c r="G309" s="8">
        <f>CHOOSE( CONTROL!$C$32, 9.1626, 9.1609) * CHOOSE( CONTROL!$C$15, $D$11, 100%, $F$11)</f>
        <v>9.1625999999999994</v>
      </c>
      <c r="H309" s="4">
        <f>CHOOSE( CONTROL!$C$32, 10.0981, 10.0964) * CHOOSE(CONTROL!$C$15, $D$11, 100%, $F$11)</f>
        <v>10.098100000000001</v>
      </c>
      <c r="I309" s="8">
        <f>CHOOSE( CONTROL!$C$32, 9.0982, 9.0965) * CHOOSE(CONTROL!$C$15, $D$11, 100%, $F$11)</f>
        <v>9.0982000000000003</v>
      </c>
      <c r="J309" s="4">
        <f>CHOOSE( CONTROL!$C$32, 8.9772, 8.9756) * CHOOSE(CONTROL!$C$15, $D$11, 100%, $F$11)</f>
        <v>8.9771999999999998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1.2927</v>
      </c>
      <c r="Q309" s="9">
        <v>30.451899999999998</v>
      </c>
      <c r="R309" s="9"/>
      <c r="S309" s="11"/>
    </row>
    <row r="310" spans="1:19" ht="15.75">
      <c r="A310" s="13">
        <v>50586</v>
      </c>
      <c r="B310" s="8">
        <f>CHOOSE( CONTROL!$C$32, 9.1125, 9.1109) * CHOOSE(CONTROL!$C$15, $D$11, 100%, $F$11)</f>
        <v>9.1125000000000007</v>
      </c>
      <c r="C310" s="8">
        <f>CHOOSE( CONTROL!$C$32, 9.1205, 9.1188) * CHOOSE(CONTROL!$C$15, $D$11, 100%, $F$11)</f>
        <v>9.1204999999999998</v>
      </c>
      <c r="D310" s="8">
        <f>CHOOSE( CONTROL!$C$32, 9.1175, 9.1158) * CHOOSE( CONTROL!$C$15, $D$11, 100%, $F$11)</f>
        <v>9.1174999999999997</v>
      </c>
      <c r="E310" s="12">
        <f>CHOOSE( CONTROL!$C$32, 9.1174, 9.1157) * CHOOSE( CONTROL!$C$15, $D$11, 100%, $F$11)</f>
        <v>9.1173999999999999</v>
      </c>
      <c r="F310" s="4">
        <f>CHOOSE( CONTROL!$C$32, 9.8195, 9.8178) * CHOOSE(CONTROL!$C$15, $D$11, 100%, $F$11)</f>
        <v>9.8194999999999997</v>
      </c>
      <c r="G310" s="8">
        <f>CHOOSE( CONTROL!$C$32, 9.0158, 9.0142) * CHOOSE( CONTROL!$C$15, $D$11, 100%, $F$11)</f>
        <v>9.0158000000000005</v>
      </c>
      <c r="H310" s="4">
        <f>CHOOSE( CONTROL!$C$32, 9.9511, 9.9495) * CHOOSE(CONTROL!$C$15, $D$11, 100%, $F$11)</f>
        <v>9.9511000000000003</v>
      </c>
      <c r="I310" s="8">
        <f>CHOOSE( CONTROL!$C$32, 8.9546, 8.9529) * CHOOSE(CONTROL!$C$15, $D$11, 100%, $F$11)</f>
        <v>8.9545999999999992</v>
      </c>
      <c r="J310" s="4">
        <f>CHOOSE( CONTROL!$C$32, 8.8329, 8.8313) * CHOOSE(CONTROL!$C$15, $D$11, 100%, $F$11)</f>
        <v>8.8329000000000004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1.2509999999999999</v>
      </c>
      <c r="Q310" s="9">
        <v>29.4696</v>
      </c>
      <c r="R310" s="9"/>
      <c r="S310" s="11"/>
    </row>
    <row r="311" spans="1:19" ht="15.75">
      <c r="A311" s="13">
        <v>50617</v>
      </c>
      <c r="B311" s="8">
        <f>CHOOSE( CONTROL!$C$32, 9.5041, 9.5024) * CHOOSE(CONTROL!$C$15, $D$11, 100%, $F$11)</f>
        <v>9.5040999999999993</v>
      </c>
      <c r="C311" s="8">
        <f>CHOOSE( CONTROL!$C$32, 9.5121, 9.5104) * CHOOSE(CONTROL!$C$15, $D$11, 100%, $F$11)</f>
        <v>9.5121000000000002</v>
      </c>
      <c r="D311" s="8">
        <f>CHOOSE( CONTROL!$C$32, 9.5093, 9.5076) * CHOOSE( CONTROL!$C$15, $D$11, 100%, $F$11)</f>
        <v>9.5092999999999996</v>
      </c>
      <c r="E311" s="12">
        <f>CHOOSE( CONTROL!$C$32, 9.5091, 9.5074) * CHOOSE( CONTROL!$C$15, $D$11, 100%, $F$11)</f>
        <v>9.5091000000000001</v>
      </c>
      <c r="F311" s="4">
        <f>CHOOSE( CONTROL!$C$32, 10.211, 10.2094) * CHOOSE(CONTROL!$C$15, $D$11, 100%, $F$11)</f>
        <v>10.211</v>
      </c>
      <c r="G311" s="8">
        <f>CHOOSE( CONTROL!$C$32, 9.403, 9.4013) * CHOOSE( CONTROL!$C$15, $D$11, 100%, $F$11)</f>
        <v>9.4030000000000005</v>
      </c>
      <c r="H311" s="4">
        <f>CHOOSE( CONTROL!$C$32, 10.3381, 10.3365) * CHOOSE(CONTROL!$C$15, $D$11, 100%, $F$11)</f>
        <v>10.338100000000001</v>
      </c>
      <c r="I311" s="8">
        <f>CHOOSE( CONTROL!$C$32, 9.3356, 9.334) * CHOOSE(CONTROL!$C$15, $D$11, 100%, $F$11)</f>
        <v>9.3355999999999995</v>
      </c>
      <c r="J311" s="4">
        <f>CHOOSE( CONTROL!$C$32, 9.2129, 9.2113) * CHOOSE(CONTROL!$C$15, $D$11, 100%, $F$11)</f>
        <v>9.2128999999999994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1.2927</v>
      </c>
      <c r="Q311" s="9">
        <v>30.451899999999998</v>
      </c>
      <c r="R311" s="9"/>
      <c r="S311" s="11"/>
    </row>
    <row r="312" spans="1:19" ht="15.75">
      <c r="A312" s="13">
        <v>50648</v>
      </c>
      <c r="B312" s="8">
        <f>CHOOSE( CONTROL!$C$32, 8.7714, 8.7698) * CHOOSE(CONTROL!$C$15, $D$11, 100%, $F$11)</f>
        <v>8.7713999999999999</v>
      </c>
      <c r="C312" s="8">
        <f>CHOOSE( CONTROL!$C$32, 8.7794, 8.7777) * CHOOSE(CONTROL!$C$15, $D$11, 100%, $F$11)</f>
        <v>8.7794000000000008</v>
      </c>
      <c r="D312" s="8">
        <f>CHOOSE( CONTROL!$C$32, 8.7767, 8.7751) * CHOOSE( CONTROL!$C$15, $D$11, 100%, $F$11)</f>
        <v>8.7766999999999999</v>
      </c>
      <c r="E312" s="12">
        <f>CHOOSE( CONTROL!$C$32, 8.7765, 8.7748) * CHOOSE( CONTROL!$C$15, $D$11, 100%, $F$11)</f>
        <v>8.7765000000000004</v>
      </c>
      <c r="F312" s="4">
        <f>CHOOSE( CONTROL!$C$32, 9.4784, 9.4767) * CHOOSE(CONTROL!$C$15, $D$11, 100%, $F$11)</f>
        <v>9.4784000000000006</v>
      </c>
      <c r="G312" s="8">
        <f>CHOOSE( CONTROL!$C$32, 8.679, 8.6773) * CHOOSE( CONTROL!$C$15, $D$11, 100%, $F$11)</f>
        <v>8.6790000000000003</v>
      </c>
      <c r="H312" s="4">
        <f>CHOOSE( CONTROL!$C$32, 9.614, 9.6124) * CHOOSE(CONTROL!$C$15, $D$11, 100%, $F$11)</f>
        <v>9.6140000000000008</v>
      </c>
      <c r="I312" s="8">
        <f>CHOOSE( CONTROL!$C$32, 8.6245, 8.6229) * CHOOSE(CONTROL!$C$15, $D$11, 100%, $F$11)</f>
        <v>8.6244999999999994</v>
      </c>
      <c r="J312" s="4">
        <f>CHOOSE( CONTROL!$C$32, 8.5019, 8.5002) * CHOOSE(CONTROL!$C$15, $D$11, 100%, $F$11)</f>
        <v>8.5018999999999991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1.2927</v>
      </c>
      <c r="Q312" s="9">
        <v>30.451899999999998</v>
      </c>
      <c r="R312" s="9"/>
      <c r="S312" s="11"/>
    </row>
    <row r="313" spans="1:19" ht="15.75">
      <c r="A313" s="13">
        <v>50678</v>
      </c>
      <c r="B313" s="8">
        <f>CHOOSE( CONTROL!$C$32, 8.588, 8.5863) * CHOOSE(CONTROL!$C$15, $D$11, 100%, $F$11)</f>
        <v>8.5879999999999992</v>
      </c>
      <c r="C313" s="8">
        <f>CHOOSE( CONTROL!$C$32, 8.5959, 8.5943) * CHOOSE(CONTROL!$C$15, $D$11, 100%, $F$11)</f>
        <v>8.5959000000000003</v>
      </c>
      <c r="D313" s="8">
        <f>CHOOSE( CONTROL!$C$32, 8.5932, 8.5915) * CHOOSE( CONTROL!$C$15, $D$11, 100%, $F$11)</f>
        <v>8.5931999999999995</v>
      </c>
      <c r="E313" s="12">
        <f>CHOOSE( CONTROL!$C$32, 8.593, 8.5913) * CHOOSE( CONTROL!$C$15, $D$11, 100%, $F$11)</f>
        <v>8.593</v>
      </c>
      <c r="F313" s="4">
        <f>CHOOSE( CONTROL!$C$32, 9.2949, 9.2932) * CHOOSE(CONTROL!$C$15, $D$11, 100%, $F$11)</f>
        <v>9.2949000000000002</v>
      </c>
      <c r="G313" s="8">
        <f>CHOOSE( CONTROL!$C$32, 8.4976, 8.496) * CHOOSE( CONTROL!$C$15, $D$11, 100%, $F$11)</f>
        <v>8.4976000000000003</v>
      </c>
      <c r="H313" s="4">
        <f>CHOOSE( CONTROL!$C$32, 9.4327, 9.4311) * CHOOSE(CONTROL!$C$15, $D$11, 100%, $F$11)</f>
        <v>9.4327000000000005</v>
      </c>
      <c r="I313" s="8">
        <f>CHOOSE( CONTROL!$C$32, 8.4462, 8.4446) * CHOOSE(CONTROL!$C$15, $D$11, 100%, $F$11)</f>
        <v>8.4461999999999993</v>
      </c>
      <c r="J313" s="4">
        <f>CHOOSE( CONTROL!$C$32, 8.3238, 8.3222) * CHOOSE(CONTROL!$C$15, $D$11, 100%, $F$11)</f>
        <v>8.3238000000000003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1.2509999999999999</v>
      </c>
      <c r="Q313" s="9">
        <v>29.4696</v>
      </c>
      <c r="R313" s="9"/>
      <c r="S313" s="11"/>
    </row>
    <row r="314" spans="1:19" ht="15.75">
      <c r="A314" s="13">
        <v>50709</v>
      </c>
      <c r="B314" s="8">
        <f>CHOOSE( CONTROL!$C$32, 8.9666, 8.9655) * CHOOSE(CONTROL!$C$15, $D$11, 100%, $F$11)</f>
        <v>8.9665999999999997</v>
      </c>
      <c r="C314" s="8">
        <f>CHOOSE( CONTROL!$C$32, 8.9719, 8.9708) * CHOOSE(CONTROL!$C$15, $D$11, 100%, $F$11)</f>
        <v>8.9718999999999998</v>
      </c>
      <c r="D314" s="8">
        <f>CHOOSE( CONTROL!$C$32, 8.9748, 8.9738) * CHOOSE( CONTROL!$C$15, $D$11, 100%, $F$11)</f>
        <v>8.9748000000000001</v>
      </c>
      <c r="E314" s="12">
        <f>CHOOSE( CONTROL!$C$32, 8.9733, 8.9722) * CHOOSE( CONTROL!$C$15, $D$11, 100%, $F$11)</f>
        <v>8.9733000000000001</v>
      </c>
      <c r="F314" s="4">
        <f>CHOOSE( CONTROL!$C$32, 9.6753, 9.6742) * CHOOSE(CONTROL!$C$15, $D$11, 100%, $F$11)</f>
        <v>9.6753</v>
      </c>
      <c r="G314" s="8">
        <f>CHOOSE( CONTROL!$C$32, 8.8737, 8.8726) * CHOOSE( CONTROL!$C$15, $D$11, 100%, $F$11)</f>
        <v>8.8736999999999995</v>
      </c>
      <c r="H314" s="4">
        <f>CHOOSE( CONTROL!$C$32, 9.8086, 9.8075) * CHOOSE(CONTROL!$C$15, $D$11, 100%, $F$11)</f>
        <v>9.8086000000000002</v>
      </c>
      <c r="I314" s="8">
        <f>CHOOSE( CONTROL!$C$32, 8.8164, 8.8153) * CHOOSE(CONTROL!$C$15, $D$11, 100%, $F$11)</f>
        <v>8.8163999999999998</v>
      </c>
      <c r="J314" s="4">
        <f>CHOOSE( CONTROL!$C$32, 8.6929, 8.6919) * CHOOSE(CONTROL!$C$15, $D$11, 100%, $F$11)</f>
        <v>8.6928999999999998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1.2927</v>
      </c>
      <c r="Q314" s="9">
        <v>30.451899999999998</v>
      </c>
      <c r="R314" s="9"/>
      <c r="S314" s="11"/>
    </row>
    <row r="315" spans="1:19" ht="15.75">
      <c r="A315" s="13">
        <v>50739</v>
      </c>
      <c r="B315" s="8">
        <f>CHOOSE( CONTROL!$C$32, 9.6693, 9.6682) * CHOOSE(CONTROL!$C$15, $D$11, 100%, $F$11)</f>
        <v>9.6692999999999998</v>
      </c>
      <c r="C315" s="8">
        <f>CHOOSE( CONTROL!$C$32, 9.6744, 9.6733) * CHOOSE(CONTROL!$C$15, $D$11, 100%, $F$11)</f>
        <v>9.6744000000000003</v>
      </c>
      <c r="D315" s="8">
        <f>CHOOSE( CONTROL!$C$32, 9.6566, 9.6555) * CHOOSE( CONTROL!$C$15, $D$11, 100%, $F$11)</f>
        <v>9.6565999999999992</v>
      </c>
      <c r="E315" s="12">
        <f>CHOOSE( CONTROL!$C$32, 9.6626, 9.6615) * CHOOSE( CONTROL!$C$15, $D$11, 100%, $F$11)</f>
        <v>9.6625999999999994</v>
      </c>
      <c r="F315" s="4">
        <f>CHOOSE( CONTROL!$C$32, 10.3346, 10.3335) * CHOOSE(CONTROL!$C$15, $D$11, 100%, $F$11)</f>
        <v>10.3346</v>
      </c>
      <c r="G315" s="8">
        <f>CHOOSE( CONTROL!$C$32, 9.5677, 9.5666) * CHOOSE( CONTROL!$C$15, $D$11, 100%, $F$11)</f>
        <v>9.5677000000000003</v>
      </c>
      <c r="H315" s="4">
        <f>CHOOSE( CONTROL!$C$32, 10.4602, 10.4592) * CHOOSE(CONTROL!$C$15, $D$11, 100%, $F$11)</f>
        <v>10.4602</v>
      </c>
      <c r="I315" s="8">
        <f>CHOOSE( CONTROL!$C$32, 9.5608, 9.5598) * CHOOSE(CONTROL!$C$15, $D$11, 100%, $F$11)</f>
        <v>9.5608000000000004</v>
      </c>
      <c r="J315" s="4">
        <f>CHOOSE( CONTROL!$C$32, 9.3753, 9.3743) * CHOOSE(CONTROL!$C$15, $D$11, 100%, $F$11)</f>
        <v>9.3752999999999993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29.4696</v>
      </c>
      <c r="R315" s="9"/>
      <c r="S315" s="11"/>
    </row>
    <row r="316" spans="1:19" ht="15.75">
      <c r="A316" s="13">
        <v>50770</v>
      </c>
      <c r="B316" s="8">
        <f>CHOOSE( CONTROL!$C$32, 9.6518, 9.6507) * CHOOSE(CONTROL!$C$15, $D$11, 100%, $F$11)</f>
        <v>9.6517999999999997</v>
      </c>
      <c r="C316" s="8">
        <f>CHOOSE( CONTROL!$C$32, 9.6568, 9.6558) * CHOOSE(CONTROL!$C$15, $D$11, 100%, $F$11)</f>
        <v>9.6568000000000005</v>
      </c>
      <c r="D316" s="8">
        <f>CHOOSE( CONTROL!$C$32, 9.6405, 9.6394) * CHOOSE( CONTROL!$C$15, $D$11, 100%, $F$11)</f>
        <v>9.6404999999999994</v>
      </c>
      <c r="E316" s="12">
        <f>CHOOSE( CONTROL!$C$32, 9.6459, 9.6449) * CHOOSE( CONTROL!$C$15, $D$11, 100%, $F$11)</f>
        <v>9.6458999999999993</v>
      </c>
      <c r="F316" s="4">
        <f>CHOOSE( CONTROL!$C$32, 10.317, 10.316) * CHOOSE(CONTROL!$C$15, $D$11, 100%, $F$11)</f>
        <v>10.317</v>
      </c>
      <c r="G316" s="8">
        <f>CHOOSE( CONTROL!$C$32, 9.5513, 9.5503) * CHOOSE( CONTROL!$C$15, $D$11, 100%, $F$11)</f>
        <v>9.5512999999999995</v>
      </c>
      <c r="H316" s="4">
        <f>CHOOSE( CONTROL!$C$32, 10.4429, 10.4418) * CHOOSE(CONTROL!$C$15, $D$11, 100%, $F$11)</f>
        <v>10.4429</v>
      </c>
      <c r="I316" s="8">
        <f>CHOOSE( CONTROL!$C$32, 9.5483, 9.5472) * CHOOSE(CONTROL!$C$15, $D$11, 100%, $F$11)</f>
        <v>9.5482999999999993</v>
      </c>
      <c r="J316" s="4">
        <f>CHOOSE( CONTROL!$C$32, 9.3583, 9.3572) * CHOOSE(CONTROL!$C$15, $D$11, 100%, $F$11)</f>
        <v>9.3582999999999998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30.451899999999998</v>
      </c>
      <c r="R316" s="9"/>
      <c r="S316" s="11"/>
    </row>
    <row r="317" spans="1:19" ht="15.75">
      <c r="A317" s="13">
        <v>50801</v>
      </c>
      <c r="B317" s="8">
        <f>CHOOSE( CONTROL!$C$32, 9.9362, 9.9351) * CHOOSE(CONTROL!$C$15, $D$11, 100%, $F$11)</f>
        <v>9.9361999999999995</v>
      </c>
      <c r="C317" s="8">
        <f>CHOOSE( CONTROL!$C$32, 9.9412, 9.9402) * CHOOSE(CONTROL!$C$15, $D$11, 100%, $F$11)</f>
        <v>9.9412000000000003</v>
      </c>
      <c r="D317" s="8">
        <f>CHOOSE( CONTROL!$C$32, 9.92, 9.9189) * CHOOSE( CONTROL!$C$15, $D$11, 100%, $F$11)</f>
        <v>9.92</v>
      </c>
      <c r="E317" s="12">
        <f>CHOOSE( CONTROL!$C$32, 9.9272, 9.9261) * CHOOSE( CONTROL!$C$15, $D$11, 100%, $F$11)</f>
        <v>9.9271999999999991</v>
      </c>
      <c r="F317" s="4">
        <f>CHOOSE( CONTROL!$C$32, 10.6014, 10.6004) * CHOOSE(CONTROL!$C$15, $D$11, 100%, $F$11)</f>
        <v>10.6014</v>
      </c>
      <c r="G317" s="8">
        <f>CHOOSE( CONTROL!$C$32, 9.8219, 9.8209) * CHOOSE( CONTROL!$C$15, $D$11, 100%, $F$11)</f>
        <v>9.8218999999999994</v>
      </c>
      <c r="H317" s="4">
        <f>CHOOSE( CONTROL!$C$32, 10.7239, 10.7229) * CHOOSE(CONTROL!$C$15, $D$11, 100%, $F$11)</f>
        <v>10.7239</v>
      </c>
      <c r="I317" s="8">
        <f>CHOOSE( CONTROL!$C$32, 9.7864, 9.7854) * CHOOSE(CONTROL!$C$15, $D$11, 100%, $F$11)</f>
        <v>9.7864000000000004</v>
      </c>
      <c r="J317" s="4">
        <f>CHOOSE( CONTROL!$C$32, 9.6343, 9.6332) * CHOOSE(CONTROL!$C$15, $D$11, 100%, $F$11)</f>
        <v>9.6342999999999996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30.386800000000001</v>
      </c>
      <c r="R317" s="9"/>
      <c r="S317" s="11"/>
    </row>
    <row r="318" spans="1:19" ht="15.75">
      <c r="A318" s="13">
        <v>50829</v>
      </c>
      <c r="B318" s="8">
        <f>CHOOSE( CONTROL!$C$32, 9.2945, 9.2934) * CHOOSE(CONTROL!$C$15, $D$11, 100%, $F$11)</f>
        <v>9.2944999999999993</v>
      </c>
      <c r="C318" s="8">
        <f>CHOOSE( CONTROL!$C$32, 9.2995, 9.2985) * CHOOSE(CONTROL!$C$15, $D$11, 100%, $F$11)</f>
        <v>9.2995000000000001</v>
      </c>
      <c r="D318" s="8">
        <f>CHOOSE( CONTROL!$C$32, 9.2781, 9.277) * CHOOSE( CONTROL!$C$15, $D$11, 100%, $F$11)</f>
        <v>9.2781000000000002</v>
      </c>
      <c r="E318" s="12">
        <f>CHOOSE( CONTROL!$C$32, 9.2854, 9.2843) * CHOOSE( CONTROL!$C$15, $D$11, 100%, $F$11)</f>
        <v>9.2853999999999992</v>
      </c>
      <c r="F318" s="4">
        <f>CHOOSE( CONTROL!$C$32, 9.9597, 9.9587) * CHOOSE(CONTROL!$C$15, $D$11, 100%, $F$11)</f>
        <v>9.9596999999999998</v>
      </c>
      <c r="G318" s="8">
        <f>CHOOSE( CONTROL!$C$32, 9.1876, 9.1866) * CHOOSE( CONTROL!$C$15, $D$11, 100%, $F$11)</f>
        <v>9.1875999999999998</v>
      </c>
      <c r="H318" s="4">
        <f>CHOOSE( CONTROL!$C$32, 10.0897, 10.0887) * CHOOSE(CONTROL!$C$15, $D$11, 100%, $F$11)</f>
        <v>10.089700000000001</v>
      </c>
      <c r="I318" s="8">
        <f>CHOOSE( CONTROL!$C$32, 9.163, 9.1619) * CHOOSE(CONTROL!$C$15, $D$11, 100%, $F$11)</f>
        <v>9.1630000000000003</v>
      </c>
      <c r="J318" s="4">
        <f>CHOOSE( CONTROL!$C$32, 9.0115, 9.0105) * CHOOSE(CONTROL!$C$15, $D$11, 100%, $F$11)</f>
        <v>9.0114999999999998</v>
      </c>
      <c r="K318" s="4"/>
      <c r="L318" s="9">
        <v>26.469899999999999</v>
      </c>
      <c r="M318" s="9">
        <v>10.8962</v>
      </c>
      <c r="N318" s="9">
        <v>4.4660000000000002</v>
      </c>
      <c r="O318" s="9">
        <v>0.33789999999999998</v>
      </c>
      <c r="P318" s="9">
        <v>1.1676</v>
      </c>
      <c r="Q318" s="9">
        <v>27.446200000000001</v>
      </c>
      <c r="R318" s="9"/>
      <c r="S318" s="11"/>
    </row>
    <row r="319" spans="1:19" ht="15.75">
      <c r="A319" s="13">
        <v>50860</v>
      </c>
      <c r="B319" s="8">
        <f>CHOOSE( CONTROL!$C$32, 9.0968, 9.0957) * CHOOSE(CONTROL!$C$15, $D$11, 100%, $F$11)</f>
        <v>9.0968</v>
      </c>
      <c r="C319" s="8">
        <f>CHOOSE( CONTROL!$C$32, 9.1019, 9.1008) * CHOOSE(CONTROL!$C$15, $D$11, 100%, $F$11)</f>
        <v>9.1019000000000005</v>
      </c>
      <c r="D319" s="8">
        <f>CHOOSE( CONTROL!$C$32, 9.0798, 9.0788) * CHOOSE( CONTROL!$C$15, $D$11, 100%, $F$11)</f>
        <v>9.0798000000000005</v>
      </c>
      <c r="E319" s="12">
        <f>CHOOSE( CONTROL!$C$32, 9.0873, 9.0863) * CHOOSE( CONTROL!$C$15, $D$11, 100%, $F$11)</f>
        <v>9.0873000000000008</v>
      </c>
      <c r="F319" s="4">
        <f>CHOOSE( CONTROL!$C$32, 9.7621, 9.761) * CHOOSE(CONTROL!$C$15, $D$11, 100%, $F$11)</f>
        <v>9.7621000000000002</v>
      </c>
      <c r="G319" s="8">
        <f>CHOOSE( CONTROL!$C$32, 8.9919, 8.9908) * CHOOSE( CONTROL!$C$15, $D$11, 100%, $F$11)</f>
        <v>8.9918999999999993</v>
      </c>
      <c r="H319" s="4">
        <f>CHOOSE( CONTROL!$C$32, 9.8944, 9.8933) * CHOOSE(CONTROL!$C$15, $D$11, 100%, $F$11)</f>
        <v>9.8943999999999992</v>
      </c>
      <c r="I319" s="8">
        <f>CHOOSE( CONTROL!$C$32, 8.9691, 8.968) * CHOOSE(CONTROL!$C$15, $D$11, 100%, $F$11)</f>
        <v>8.9690999999999992</v>
      </c>
      <c r="J319" s="4">
        <f>CHOOSE( CONTROL!$C$32, 8.8197, 8.8187) * CHOOSE(CONTROL!$C$15, $D$11, 100%, $F$11)</f>
        <v>8.8196999999999992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30.386800000000001</v>
      </c>
      <c r="R319" s="9"/>
      <c r="S319" s="11"/>
    </row>
    <row r="320" spans="1:19" ht="15.75">
      <c r="A320" s="13">
        <v>50890</v>
      </c>
      <c r="B320" s="8">
        <f>CHOOSE( CONTROL!$C$32, 9.2357, 9.2346) * CHOOSE(CONTROL!$C$15, $D$11, 100%, $F$11)</f>
        <v>9.2356999999999996</v>
      </c>
      <c r="C320" s="8">
        <f>CHOOSE( CONTROL!$C$32, 9.2402, 9.2391) * CHOOSE(CONTROL!$C$15, $D$11, 100%, $F$11)</f>
        <v>9.2401999999999997</v>
      </c>
      <c r="D320" s="8">
        <f>CHOOSE( CONTROL!$C$32, 9.243, 9.242) * CHOOSE( CONTROL!$C$15, $D$11, 100%, $F$11)</f>
        <v>9.2430000000000003</v>
      </c>
      <c r="E320" s="12">
        <f>CHOOSE( CONTROL!$C$32, 9.2416, 9.2405) * CHOOSE( CONTROL!$C$15, $D$11, 100%, $F$11)</f>
        <v>9.2416</v>
      </c>
      <c r="F320" s="4">
        <f>CHOOSE( CONTROL!$C$32, 9.944, 9.9429) * CHOOSE(CONTROL!$C$15, $D$11, 100%, $F$11)</f>
        <v>9.9440000000000008</v>
      </c>
      <c r="G320" s="8">
        <f>CHOOSE( CONTROL!$C$32, 9.1388, 9.1377) * CHOOSE( CONTROL!$C$15, $D$11, 100%, $F$11)</f>
        <v>9.1387999999999998</v>
      </c>
      <c r="H320" s="4">
        <f>CHOOSE( CONTROL!$C$32, 10.0742, 10.0731) * CHOOSE(CONTROL!$C$15, $D$11, 100%, $F$11)</f>
        <v>10.074199999999999</v>
      </c>
      <c r="I320" s="8">
        <f>CHOOSE( CONTROL!$C$32, 9.0754, 9.0744) * CHOOSE(CONTROL!$C$15, $D$11, 100%, $F$11)</f>
        <v>9.0754000000000001</v>
      </c>
      <c r="J320" s="4">
        <f>CHOOSE( CONTROL!$C$32, 8.9537, 8.9527) * CHOOSE(CONTROL!$C$15, $D$11, 100%, $F$11)</f>
        <v>8.9536999999999995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1.2509999999999999</v>
      </c>
      <c r="Q320" s="9">
        <v>29.406600000000001</v>
      </c>
      <c r="R320" s="9"/>
      <c r="S320" s="11"/>
    </row>
    <row r="321" spans="1:19" ht="15.75">
      <c r="A321" s="13">
        <v>50921</v>
      </c>
      <c r="B321" s="8">
        <f>CHOOSE( CONTROL!$C$32, 9.4834, 9.4818) * CHOOSE(CONTROL!$C$15, $D$11, 100%, $F$11)</f>
        <v>9.4833999999999996</v>
      </c>
      <c r="C321" s="8">
        <f>CHOOSE( CONTROL!$C$32, 9.4914, 9.4897) * CHOOSE(CONTROL!$C$15, $D$11, 100%, $F$11)</f>
        <v>9.4914000000000005</v>
      </c>
      <c r="D321" s="8">
        <f>CHOOSE( CONTROL!$C$32, 9.4881, 9.4865) * CHOOSE( CONTROL!$C$15, $D$11, 100%, $F$11)</f>
        <v>9.4880999999999993</v>
      </c>
      <c r="E321" s="12">
        <f>CHOOSE( CONTROL!$C$32, 9.4881, 9.4865) * CHOOSE( CONTROL!$C$15, $D$11, 100%, $F$11)</f>
        <v>9.4880999999999993</v>
      </c>
      <c r="F321" s="4">
        <f>CHOOSE( CONTROL!$C$32, 10.1904, 10.1887) * CHOOSE(CONTROL!$C$15, $D$11, 100%, $F$11)</f>
        <v>10.1904</v>
      </c>
      <c r="G321" s="8">
        <f>CHOOSE( CONTROL!$C$32, 9.3822, 9.3805) * CHOOSE( CONTROL!$C$15, $D$11, 100%, $F$11)</f>
        <v>9.3821999999999992</v>
      </c>
      <c r="H321" s="4">
        <f>CHOOSE( CONTROL!$C$32, 10.3177, 10.316) * CHOOSE(CONTROL!$C$15, $D$11, 100%, $F$11)</f>
        <v>10.3177</v>
      </c>
      <c r="I321" s="8">
        <f>CHOOSE( CONTROL!$C$32, 9.3139, 9.3123) * CHOOSE(CONTROL!$C$15, $D$11, 100%, $F$11)</f>
        <v>9.3139000000000003</v>
      </c>
      <c r="J321" s="4">
        <f>CHOOSE( CONTROL!$C$32, 9.1928, 9.1912) * CHOOSE(CONTROL!$C$15, $D$11, 100%, $F$11)</f>
        <v>9.1928000000000001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1.2927</v>
      </c>
      <c r="Q321" s="9">
        <v>30.386800000000001</v>
      </c>
      <c r="R321" s="9"/>
      <c r="S321" s="11"/>
    </row>
    <row r="322" spans="1:19" ht="15.75">
      <c r="A322" s="13">
        <v>50951</v>
      </c>
      <c r="B322" s="8">
        <f>CHOOSE( CONTROL!$C$32, 9.3312, 9.3295) * CHOOSE(CONTROL!$C$15, $D$11, 100%, $F$11)</f>
        <v>9.3312000000000008</v>
      </c>
      <c r="C322" s="8">
        <f>CHOOSE( CONTROL!$C$32, 9.3391, 9.3375) * CHOOSE(CONTROL!$C$15, $D$11, 100%, $F$11)</f>
        <v>9.3391000000000002</v>
      </c>
      <c r="D322" s="8">
        <f>CHOOSE( CONTROL!$C$32, 9.3361, 9.3344) * CHOOSE( CONTROL!$C$15, $D$11, 100%, $F$11)</f>
        <v>9.3361000000000001</v>
      </c>
      <c r="E322" s="12">
        <f>CHOOSE( CONTROL!$C$32, 9.336, 9.3343) * CHOOSE( CONTROL!$C$15, $D$11, 100%, $F$11)</f>
        <v>9.3360000000000003</v>
      </c>
      <c r="F322" s="4">
        <f>CHOOSE( CONTROL!$C$32, 10.0381, 10.0365) * CHOOSE(CONTROL!$C$15, $D$11, 100%, $F$11)</f>
        <v>10.0381</v>
      </c>
      <c r="G322" s="8">
        <f>CHOOSE( CONTROL!$C$32, 9.2319, 9.2302) * CHOOSE( CONTROL!$C$15, $D$11, 100%, $F$11)</f>
        <v>9.2318999999999996</v>
      </c>
      <c r="H322" s="4">
        <f>CHOOSE( CONTROL!$C$32, 10.1672, 10.1656) * CHOOSE(CONTROL!$C$15, $D$11, 100%, $F$11)</f>
        <v>10.167199999999999</v>
      </c>
      <c r="I322" s="8">
        <f>CHOOSE( CONTROL!$C$32, 9.1669, 9.1652) * CHOOSE(CONTROL!$C$15, $D$11, 100%, $F$11)</f>
        <v>9.1669</v>
      </c>
      <c r="J322" s="4">
        <f>CHOOSE( CONTROL!$C$32, 9.0451, 9.0435) * CHOOSE(CONTROL!$C$15, $D$11, 100%, $F$11)</f>
        <v>9.0450999999999997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1.2509999999999999</v>
      </c>
      <c r="Q322" s="9">
        <v>29.406600000000001</v>
      </c>
      <c r="R322" s="9"/>
      <c r="S322" s="11"/>
    </row>
    <row r="323" spans="1:19" ht="15.75">
      <c r="A323" s="13">
        <v>50982</v>
      </c>
      <c r="B323" s="8">
        <f>CHOOSE( CONTROL!$C$32, 9.7321, 9.7305) * CHOOSE(CONTROL!$C$15, $D$11, 100%, $F$11)</f>
        <v>9.7321000000000009</v>
      </c>
      <c r="C323" s="8">
        <f>CHOOSE( CONTROL!$C$32, 9.7401, 9.7385) * CHOOSE(CONTROL!$C$15, $D$11, 100%, $F$11)</f>
        <v>9.7401</v>
      </c>
      <c r="D323" s="8">
        <f>CHOOSE( CONTROL!$C$32, 9.7373, 9.7357) * CHOOSE( CONTROL!$C$15, $D$11, 100%, $F$11)</f>
        <v>9.7372999999999994</v>
      </c>
      <c r="E323" s="12">
        <f>CHOOSE( CONTROL!$C$32, 9.7371, 9.7355) * CHOOSE( CONTROL!$C$15, $D$11, 100%, $F$11)</f>
        <v>9.7370999999999999</v>
      </c>
      <c r="F323" s="4">
        <f>CHOOSE( CONTROL!$C$32, 10.4391, 10.4374) * CHOOSE(CONTROL!$C$15, $D$11, 100%, $F$11)</f>
        <v>10.4391</v>
      </c>
      <c r="G323" s="8">
        <f>CHOOSE( CONTROL!$C$32, 9.6283, 9.6267) * CHOOSE( CONTROL!$C$15, $D$11, 100%, $F$11)</f>
        <v>9.6282999999999994</v>
      </c>
      <c r="H323" s="4">
        <f>CHOOSE( CONTROL!$C$32, 10.5635, 10.5618) * CHOOSE(CONTROL!$C$15, $D$11, 100%, $F$11)</f>
        <v>10.563499999999999</v>
      </c>
      <c r="I323" s="8">
        <f>CHOOSE( CONTROL!$C$32, 9.557, 9.5554) * CHOOSE(CONTROL!$C$15, $D$11, 100%, $F$11)</f>
        <v>9.5570000000000004</v>
      </c>
      <c r="J323" s="4">
        <f>CHOOSE( CONTROL!$C$32, 9.4342, 9.4326) * CHOOSE(CONTROL!$C$15, $D$11, 100%, $F$11)</f>
        <v>9.4342000000000006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1.2927</v>
      </c>
      <c r="Q323" s="9">
        <v>30.386800000000001</v>
      </c>
      <c r="R323" s="9"/>
      <c r="S323" s="11"/>
    </row>
    <row r="324" spans="1:19" ht="15.75">
      <c r="A324" s="13">
        <v>51013</v>
      </c>
      <c r="B324" s="8">
        <f>CHOOSE( CONTROL!$C$32, 8.9819, 8.9802) * CHOOSE(CONTROL!$C$15, $D$11, 100%, $F$11)</f>
        <v>8.9818999999999996</v>
      </c>
      <c r="C324" s="8">
        <f>CHOOSE( CONTROL!$C$32, 8.9899, 8.9882) * CHOOSE(CONTROL!$C$15, $D$11, 100%, $F$11)</f>
        <v>8.9899000000000004</v>
      </c>
      <c r="D324" s="8">
        <f>CHOOSE( CONTROL!$C$32, 8.9872, 8.9855) * CHOOSE( CONTROL!$C$15, $D$11, 100%, $F$11)</f>
        <v>8.9871999999999996</v>
      </c>
      <c r="E324" s="12">
        <f>CHOOSE( CONTROL!$C$32, 8.987, 8.9853) * CHOOSE( CONTROL!$C$15, $D$11, 100%, $F$11)</f>
        <v>8.9870000000000001</v>
      </c>
      <c r="F324" s="4">
        <f>CHOOSE( CONTROL!$C$32, 9.6888, 9.6872) * CHOOSE(CONTROL!$C$15, $D$11, 100%, $F$11)</f>
        <v>9.6888000000000005</v>
      </c>
      <c r="G324" s="8">
        <f>CHOOSE( CONTROL!$C$32, 8.8869, 8.8853) * CHOOSE( CONTROL!$C$15, $D$11, 100%, $F$11)</f>
        <v>8.8869000000000007</v>
      </c>
      <c r="H324" s="4">
        <f>CHOOSE( CONTROL!$C$32, 9.822, 9.8204) * CHOOSE(CONTROL!$C$15, $D$11, 100%, $F$11)</f>
        <v>9.8219999999999992</v>
      </c>
      <c r="I324" s="8">
        <f>CHOOSE( CONTROL!$C$32, 8.8289, 8.8273) * CHOOSE(CONTROL!$C$15, $D$11, 100%, $F$11)</f>
        <v>8.8289000000000009</v>
      </c>
      <c r="J324" s="4">
        <f>CHOOSE( CONTROL!$C$32, 8.7061, 8.7045) * CHOOSE(CONTROL!$C$15, $D$11, 100%, $F$11)</f>
        <v>8.7060999999999993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1.2927</v>
      </c>
      <c r="Q324" s="9">
        <v>30.386800000000001</v>
      </c>
      <c r="R324" s="9"/>
      <c r="S324" s="11"/>
    </row>
    <row r="325" spans="1:19" ht="15.75">
      <c r="A325" s="13">
        <v>51043</v>
      </c>
      <c r="B325" s="8">
        <f>CHOOSE( CONTROL!$C$32, 8.794, 8.7923) * CHOOSE(CONTROL!$C$15, $D$11, 100%, $F$11)</f>
        <v>8.7940000000000005</v>
      </c>
      <c r="C325" s="8">
        <f>CHOOSE( CONTROL!$C$32, 8.802, 8.8003) * CHOOSE(CONTROL!$C$15, $D$11, 100%, $F$11)</f>
        <v>8.8019999999999996</v>
      </c>
      <c r="D325" s="8">
        <f>CHOOSE( CONTROL!$C$32, 8.7992, 8.7976) * CHOOSE( CONTROL!$C$15, $D$11, 100%, $F$11)</f>
        <v>8.7992000000000008</v>
      </c>
      <c r="E325" s="12">
        <f>CHOOSE( CONTROL!$C$32, 8.799, 8.7974) * CHOOSE( CONTROL!$C$15, $D$11, 100%, $F$11)</f>
        <v>8.7989999999999995</v>
      </c>
      <c r="F325" s="4">
        <f>CHOOSE( CONTROL!$C$32, 9.5009, 9.4993) * CHOOSE(CONTROL!$C$15, $D$11, 100%, $F$11)</f>
        <v>9.5008999999999997</v>
      </c>
      <c r="G325" s="8">
        <f>CHOOSE( CONTROL!$C$32, 8.7012, 8.6996) * CHOOSE( CONTROL!$C$15, $D$11, 100%, $F$11)</f>
        <v>8.7012</v>
      </c>
      <c r="H325" s="4">
        <f>CHOOSE( CONTROL!$C$32, 9.6363, 9.6347) * CHOOSE(CONTROL!$C$15, $D$11, 100%, $F$11)</f>
        <v>9.6363000000000003</v>
      </c>
      <c r="I325" s="8">
        <f>CHOOSE( CONTROL!$C$32, 8.6463, 8.6447) * CHOOSE(CONTROL!$C$15, $D$11, 100%, $F$11)</f>
        <v>8.6463000000000001</v>
      </c>
      <c r="J325" s="4">
        <f>CHOOSE( CONTROL!$C$32, 8.5238, 8.5221) * CHOOSE(CONTROL!$C$15, $D$11, 100%, $F$11)</f>
        <v>8.5237999999999996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1.2509999999999999</v>
      </c>
      <c r="Q325" s="9">
        <v>29.406600000000001</v>
      </c>
      <c r="R325" s="9"/>
      <c r="S325" s="11"/>
    </row>
    <row r="326" spans="1:19" ht="15.75">
      <c r="A326" s="13">
        <v>51074</v>
      </c>
      <c r="B326" s="8">
        <f>CHOOSE( CONTROL!$C$32, 9.1818, 9.1807) * CHOOSE(CONTROL!$C$15, $D$11, 100%, $F$11)</f>
        <v>9.1818000000000008</v>
      </c>
      <c r="C326" s="8">
        <f>CHOOSE( CONTROL!$C$32, 9.1871, 9.186) * CHOOSE(CONTROL!$C$15, $D$11, 100%, $F$11)</f>
        <v>9.1870999999999992</v>
      </c>
      <c r="D326" s="8">
        <f>CHOOSE( CONTROL!$C$32, 9.19, 9.1889) * CHOOSE( CONTROL!$C$15, $D$11, 100%, $F$11)</f>
        <v>9.19</v>
      </c>
      <c r="E326" s="12">
        <f>CHOOSE( CONTROL!$C$32, 9.1885, 9.1874) * CHOOSE( CONTROL!$C$15, $D$11, 100%, $F$11)</f>
        <v>9.1884999999999994</v>
      </c>
      <c r="F326" s="4">
        <f>CHOOSE( CONTROL!$C$32, 9.8905, 9.8894) * CHOOSE(CONTROL!$C$15, $D$11, 100%, $F$11)</f>
        <v>9.8904999999999994</v>
      </c>
      <c r="G326" s="8">
        <f>CHOOSE( CONTROL!$C$32, 9.0863, 9.0853) * CHOOSE( CONTROL!$C$15, $D$11, 100%, $F$11)</f>
        <v>9.0862999999999996</v>
      </c>
      <c r="H326" s="4">
        <f>CHOOSE( CONTROL!$C$32, 10.0213, 10.0202) * CHOOSE(CONTROL!$C$15, $D$11, 100%, $F$11)</f>
        <v>10.0213</v>
      </c>
      <c r="I326" s="8">
        <f>CHOOSE( CONTROL!$C$32, 9.0253, 9.0243) * CHOOSE(CONTROL!$C$15, $D$11, 100%, $F$11)</f>
        <v>9.0252999999999997</v>
      </c>
      <c r="J326" s="4">
        <f>CHOOSE( CONTROL!$C$32, 8.9018, 8.9007) * CHOOSE(CONTROL!$C$15, $D$11, 100%, $F$11)</f>
        <v>8.9017999999999997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1.2927</v>
      </c>
      <c r="Q326" s="9">
        <v>30.386800000000001</v>
      </c>
      <c r="R326" s="9"/>
      <c r="S326" s="11"/>
    </row>
    <row r="327" spans="1:19" ht="15.75">
      <c r="A327" s="13">
        <v>51104</v>
      </c>
      <c r="B327" s="8">
        <f>CHOOSE( CONTROL!$C$32, 9.9014, 9.9003) * CHOOSE(CONTROL!$C$15, $D$11, 100%, $F$11)</f>
        <v>9.9014000000000006</v>
      </c>
      <c r="C327" s="8">
        <f>CHOOSE( CONTROL!$C$32, 9.9065, 9.9054) * CHOOSE(CONTROL!$C$15, $D$11, 100%, $F$11)</f>
        <v>9.9064999999999994</v>
      </c>
      <c r="D327" s="8">
        <f>CHOOSE( CONTROL!$C$32, 9.8887, 9.8876) * CHOOSE( CONTROL!$C$15, $D$11, 100%, $F$11)</f>
        <v>9.8887</v>
      </c>
      <c r="E327" s="12">
        <f>CHOOSE( CONTROL!$C$32, 9.8947, 9.8936) * CHOOSE( CONTROL!$C$15, $D$11, 100%, $F$11)</f>
        <v>9.8947000000000003</v>
      </c>
      <c r="F327" s="4">
        <f>CHOOSE( CONTROL!$C$32, 10.5667, 10.5656) * CHOOSE(CONTROL!$C$15, $D$11, 100%, $F$11)</f>
        <v>10.566700000000001</v>
      </c>
      <c r="G327" s="8">
        <f>CHOOSE( CONTROL!$C$32, 9.797, 9.796) * CHOOSE( CONTROL!$C$15, $D$11, 100%, $F$11)</f>
        <v>9.7970000000000006</v>
      </c>
      <c r="H327" s="4">
        <f>CHOOSE( CONTROL!$C$32, 10.6896, 10.6885) * CHOOSE(CONTROL!$C$15, $D$11, 100%, $F$11)</f>
        <v>10.6896</v>
      </c>
      <c r="I327" s="8">
        <f>CHOOSE( CONTROL!$C$32, 9.7862, 9.7851) * CHOOSE(CONTROL!$C$15, $D$11, 100%, $F$11)</f>
        <v>9.7861999999999991</v>
      </c>
      <c r="J327" s="4">
        <f>CHOOSE( CONTROL!$C$32, 9.6006, 9.5995) * CHOOSE(CONTROL!$C$15, $D$11, 100%, $F$11)</f>
        <v>9.6006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29.406600000000001</v>
      </c>
      <c r="R327" s="9"/>
      <c r="S327" s="11"/>
    </row>
    <row r="328" spans="1:19" ht="15.75">
      <c r="A328" s="13">
        <v>51135</v>
      </c>
      <c r="B328" s="8">
        <f>CHOOSE( CONTROL!$C$32, 9.8834, 9.8823) * CHOOSE(CONTROL!$C$15, $D$11, 100%, $F$11)</f>
        <v>9.8834</v>
      </c>
      <c r="C328" s="8">
        <f>CHOOSE( CONTROL!$C$32, 9.8885, 9.8874) * CHOOSE(CONTROL!$C$15, $D$11, 100%, $F$11)</f>
        <v>9.8885000000000005</v>
      </c>
      <c r="D328" s="8">
        <f>CHOOSE( CONTROL!$C$32, 9.8721, 9.871) * CHOOSE( CONTROL!$C$15, $D$11, 100%, $F$11)</f>
        <v>9.8720999999999997</v>
      </c>
      <c r="E328" s="12">
        <f>CHOOSE( CONTROL!$C$32, 9.8776, 9.8765) * CHOOSE( CONTROL!$C$15, $D$11, 100%, $F$11)</f>
        <v>9.8775999999999993</v>
      </c>
      <c r="F328" s="4">
        <f>CHOOSE( CONTROL!$C$32, 10.5487, 10.5476) * CHOOSE(CONTROL!$C$15, $D$11, 100%, $F$11)</f>
        <v>10.5487</v>
      </c>
      <c r="G328" s="8">
        <f>CHOOSE( CONTROL!$C$32, 9.7803, 9.7792) * CHOOSE( CONTROL!$C$15, $D$11, 100%, $F$11)</f>
        <v>9.7803000000000004</v>
      </c>
      <c r="H328" s="4">
        <f>CHOOSE( CONTROL!$C$32, 10.6718, 10.6707) * CHOOSE(CONTROL!$C$15, $D$11, 100%, $F$11)</f>
        <v>10.671799999999999</v>
      </c>
      <c r="I328" s="8">
        <f>CHOOSE( CONTROL!$C$32, 9.7732, 9.7721) * CHOOSE(CONTROL!$C$15, $D$11, 100%, $F$11)</f>
        <v>9.7731999999999992</v>
      </c>
      <c r="J328" s="4">
        <f>CHOOSE( CONTROL!$C$32, 9.5831, 9.5821) * CHOOSE(CONTROL!$C$15, $D$11, 100%, $F$11)</f>
        <v>9.5831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30.386800000000001</v>
      </c>
      <c r="R328" s="9"/>
      <c r="S328" s="11"/>
    </row>
    <row r="329" spans="1:19" ht="15.75">
      <c r="A329" s="13">
        <v>51166</v>
      </c>
      <c r="B329" s="8">
        <f>CHOOSE( CONTROL!$C$32, 10.1747, 10.1736) * CHOOSE(CONTROL!$C$15, $D$11, 100%, $F$11)</f>
        <v>10.1747</v>
      </c>
      <c r="C329" s="8">
        <f>CHOOSE( CONTROL!$C$32, 10.1797, 10.1787) * CHOOSE(CONTROL!$C$15, $D$11, 100%, $F$11)</f>
        <v>10.1797</v>
      </c>
      <c r="D329" s="8">
        <f>CHOOSE( CONTROL!$C$32, 10.1584, 10.1574) * CHOOSE( CONTROL!$C$15, $D$11, 100%, $F$11)</f>
        <v>10.1584</v>
      </c>
      <c r="E329" s="12">
        <f>CHOOSE( CONTROL!$C$32, 10.1657, 10.1646) * CHOOSE( CONTROL!$C$15, $D$11, 100%, $F$11)</f>
        <v>10.165699999999999</v>
      </c>
      <c r="F329" s="4">
        <f>CHOOSE( CONTROL!$C$32, 10.8399, 10.8389) * CHOOSE(CONTROL!$C$15, $D$11, 100%, $F$11)</f>
        <v>10.8399</v>
      </c>
      <c r="G329" s="8">
        <f>CHOOSE( CONTROL!$C$32, 10.0576, 10.0566) * CHOOSE( CONTROL!$C$15, $D$11, 100%, $F$11)</f>
        <v>10.057600000000001</v>
      </c>
      <c r="H329" s="4">
        <f>CHOOSE( CONTROL!$C$32, 10.9596, 10.9586) * CHOOSE(CONTROL!$C$15, $D$11, 100%, $F$11)</f>
        <v>10.9596</v>
      </c>
      <c r="I329" s="8">
        <f>CHOOSE( CONTROL!$C$32, 10.018, 10.017) * CHOOSE(CONTROL!$C$15, $D$11, 100%, $F$11)</f>
        <v>10.018000000000001</v>
      </c>
      <c r="J329" s="4">
        <f>CHOOSE( CONTROL!$C$32, 9.8658, 9.8647) * CHOOSE(CONTROL!$C$15, $D$11, 100%, $F$11)</f>
        <v>9.8658000000000001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30.3217</v>
      </c>
      <c r="R329" s="9"/>
      <c r="S329" s="11"/>
    </row>
    <row r="330" spans="1:19" ht="15.75">
      <c r="A330" s="13">
        <v>51194</v>
      </c>
      <c r="B330" s="8">
        <f>CHOOSE( CONTROL!$C$32, 9.5175, 9.5165) * CHOOSE(CONTROL!$C$15, $D$11, 100%, $F$11)</f>
        <v>9.5175000000000001</v>
      </c>
      <c r="C330" s="8">
        <f>CHOOSE( CONTROL!$C$32, 9.5226, 9.5215) * CHOOSE(CONTROL!$C$15, $D$11, 100%, $F$11)</f>
        <v>9.5226000000000006</v>
      </c>
      <c r="D330" s="8">
        <f>CHOOSE( CONTROL!$C$32, 9.5012, 9.5001) * CHOOSE( CONTROL!$C$15, $D$11, 100%, $F$11)</f>
        <v>9.5012000000000008</v>
      </c>
      <c r="E330" s="12">
        <f>CHOOSE( CONTROL!$C$32, 9.5085, 9.5074) * CHOOSE( CONTROL!$C$15, $D$11, 100%, $F$11)</f>
        <v>9.5084999999999997</v>
      </c>
      <c r="F330" s="4">
        <f>CHOOSE( CONTROL!$C$32, 10.1828, 10.1817) * CHOOSE(CONTROL!$C$15, $D$11, 100%, $F$11)</f>
        <v>10.1828</v>
      </c>
      <c r="G330" s="8">
        <f>CHOOSE( CONTROL!$C$32, 9.4081, 9.407) * CHOOSE( CONTROL!$C$15, $D$11, 100%, $F$11)</f>
        <v>9.4080999999999992</v>
      </c>
      <c r="H330" s="4">
        <f>CHOOSE( CONTROL!$C$32, 10.3102, 10.3091) * CHOOSE(CONTROL!$C$15, $D$11, 100%, $F$11)</f>
        <v>10.3102</v>
      </c>
      <c r="I330" s="8">
        <f>CHOOSE( CONTROL!$C$32, 9.3796, 9.3785) * CHOOSE(CONTROL!$C$15, $D$11, 100%, $F$11)</f>
        <v>9.3795999999999999</v>
      </c>
      <c r="J330" s="4">
        <f>CHOOSE( CONTROL!$C$32, 9.228, 9.227) * CHOOSE(CONTROL!$C$15, $D$11, 100%, $F$11)</f>
        <v>9.2279999999999998</v>
      </c>
      <c r="K330" s="4"/>
      <c r="L330" s="9">
        <v>27.415299999999998</v>
      </c>
      <c r="M330" s="9">
        <v>11.285299999999999</v>
      </c>
      <c r="N330" s="9">
        <v>4.6254999999999997</v>
      </c>
      <c r="O330" s="9">
        <v>0.34989999999999999</v>
      </c>
      <c r="P330" s="9">
        <v>1.2093</v>
      </c>
      <c r="Q330" s="9">
        <v>28.365500000000001</v>
      </c>
      <c r="R330" s="9"/>
      <c r="S330" s="11"/>
    </row>
    <row r="331" spans="1:19" ht="15.75">
      <c r="A331" s="13">
        <v>51226</v>
      </c>
      <c r="B331" s="8">
        <f>CHOOSE( CONTROL!$C$32, 9.3151, 9.3141) * CHOOSE(CONTROL!$C$15, $D$11, 100%, $F$11)</f>
        <v>9.3150999999999993</v>
      </c>
      <c r="C331" s="8">
        <f>CHOOSE( CONTROL!$C$32, 9.3202, 9.3191) * CHOOSE(CONTROL!$C$15, $D$11, 100%, $F$11)</f>
        <v>9.3201999999999998</v>
      </c>
      <c r="D331" s="8">
        <f>CHOOSE( CONTROL!$C$32, 9.2982, 9.2971) * CHOOSE( CONTROL!$C$15, $D$11, 100%, $F$11)</f>
        <v>9.2981999999999996</v>
      </c>
      <c r="E331" s="12">
        <f>CHOOSE( CONTROL!$C$32, 9.3057, 9.3046) * CHOOSE( CONTROL!$C$15, $D$11, 100%, $F$11)</f>
        <v>9.3056999999999999</v>
      </c>
      <c r="F331" s="4">
        <f>CHOOSE( CONTROL!$C$32, 9.9804, 9.9793) * CHOOSE(CONTROL!$C$15, $D$11, 100%, $F$11)</f>
        <v>9.9803999999999995</v>
      </c>
      <c r="G331" s="8">
        <f>CHOOSE( CONTROL!$C$32, 9.2076, 9.2066) * CHOOSE( CONTROL!$C$15, $D$11, 100%, $F$11)</f>
        <v>9.2075999999999993</v>
      </c>
      <c r="H331" s="4">
        <f>CHOOSE( CONTROL!$C$32, 10.1102, 10.1091) * CHOOSE(CONTROL!$C$15, $D$11, 100%, $F$11)</f>
        <v>10.110200000000001</v>
      </c>
      <c r="I331" s="8">
        <f>CHOOSE( CONTROL!$C$32, 9.1811, 9.18) * CHOOSE(CONTROL!$C$15, $D$11, 100%, $F$11)</f>
        <v>9.1811000000000007</v>
      </c>
      <c r="J331" s="4">
        <f>CHOOSE( CONTROL!$C$32, 9.0316, 9.0305) * CHOOSE(CONTROL!$C$15, $D$11, 100%, $F$11)</f>
        <v>9.0315999999999992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30.3217</v>
      </c>
      <c r="R331" s="9"/>
      <c r="S331" s="11"/>
    </row>
    <row r="332" spans="1:19" ht="15.75">
      <c r="A332" s="13">
        <v>51256</v>
      </c>
      <c r="B332" s="8">
        <f>CHOOSE( CONTROL!$C$32, 9.4573, 9.4563) * CHOOSE(CONTROL!$C$15, $D$11, 100%, $F$11)</f>
        <v>9.4573</v>
      </c>
      <c r="C332" s="8">
        <f>CHOOSE( CONTROL!$C$32, 9.4618, 9.4608) * CHOOSE(CONTROL!$C$15, $D$11, 100%, $F$11)</f>
        <v>9.4618000000000002</v>
      </c>
      <c r="D332" s="8">
        <f>CHOOSE( CONTROL!$C$32, 9.4647, 9.4636) * CHOOSE( CONTROL!$C$15, $D$11, 100%, $F$11)</f>
        <v>9.4647000000000006</v>
      </c>
      <c r="E332" s="12">
        <f>CHOOSE( CONTROL!$C$32, 9.4632, 9.4622) * CHOOSE( CONTROL!$C$15, $D$11, 100%, $F$11)</f>
        <v>9.4632000000000005</v>
      </c>
      <c r="F332" s="4">
        <f>CHOOSE( CONTROL!$C$32, 10.1656, 10.1646) * CHOOSE(CONTROL!$C$15, $D$11, 100%, $F$11)</f>
        <v>10.1656</v>
      </c>
      <c r="G332" s="8">
        <f>CHOOSE( CONTROL!$C$32, 9.3579, 9.3568) * CHOOSE( CONTROL!$C$15, $D$11, 100%, $F$11)</f>
        <v>9.3579000000000008</v>
      </c>
      <c r="H332" s="4">
        <f>CHOOSE( CONTROL!$C$32, 10.2932, 10.2922) * CHOOSE(CONTROL!$C$15, $D$11, 100%, $F$11)</f>
        <v>10.293200000000001</v>
      </c>
      <c r="I332" s="8">
        <f>CHOOSE( CONTROL!$C$32, 9.2906, 9.2896) * CHOOSE(CONTROL!$C$15, $D$11, 100%, $F$11)</f>
        <v>9.2905999999999995</v>
      </c>
      <c r="J332" s="4">
        <f>CHOOSE( CONTROL!$C$32, 9.1689, 9.1678) * CHOOSE(CONTROL!$C$15, $D$11, 100%, $F$11)</f>
        <v>9.1689000000000007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1.2509999999999999</v>
      </c>
      <c r="Q332" s="9">
        <v>29.343599999999999</v>
      </c>
      <c r="R332" s="9"/>
      <c r="S332" s="11"/>
    </row>
    <row r="333" spans="1:19" ht="15.75">
      <c r="A333" s="13">
        <v>51287</v>
      </c>
      <c r="B333" s="8">
        <f>CHOOSE( CONTROL!$C$32, 9.711, 9.7093) * CHOOSE(CONTROL!$C$15, $D$11, 100%, $F$11)</f>
        <v>9.7110000000000003</v>
      </c>
      <c r="C333" s="8">
        <f>CHOOSE( CONTROL!$C$32, 9.719, 9.7173) * CHOOSE(CONTROL!$C$15, $D$11, 100%, $F$11)</f>
        <v>9.7189999999999994</v>
      </c>
      <c r="D333" s="8">
        <f>CHOOSE( CONTROL!$C$32, 9.7157, 9.714) * CHOOSE( CONTROL!$C$15, $D$11, 100%, $F$11)</f>
        <v>9.7157</v>
      </c>
      <c r="E333" s="12">
        <f>CHOOSE( CONTROL!$C$32, 9.7157, 9.714) * CHOOSE( CONTROL!$C$15, $D$11, 100%, $F$11)</f>
        <v>9.7157</v>
      </c>
      <c r="F333" s="4">
        <f>CHOOSE( CONTROL!$C$32, 10.4179, 10.4163) * CHOOSE(CONTROL!$C$15, $D$11, 100%, $F$11)</f>
        <v>10.417899999999999</v>
      </c>
      <c r="G333" s="8">
        <f>CHOOSE( CONTROL!$C$32, 9.6071, 9.6054) * CHOOSE( CONTROL!$C$15, $D$11, 100%, $F$11)</f>
        <v>9.6071000000000009</v>
      </c>
      <c r="H333" s="4">
        <f>CHOOSE( CONTROL!$C$32, 10.5426, 10.5409) * CHOOSE(CONTROL!$C$15, $D$11, 100%, $F$11)</f>
        <v>10.5426</v>
      </c>
      <c r="I333" s="8">
        <f>CHOOSE( CONTROL!$C$32, 9.5349, 9.5333) * CHOOSE(CONTROL!$C$15, $D$11, 100%, $F$11)</f>
        <v>9.5349000000000004</v>
      </c>
      <c r="J333" s="4">
        <f>CHOOSE( CONTROL!$C$32, 9.4137, 9.4121) * CHOOSE(CONTROL!$C$15, $D$11, 100%, $F$11)</f>
        <v>9.4137000000000004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1.2927</v>
      </c>
      <c r="Q333" s="9">
        <v>30.3217</v>
      </c>
      <c r="R333" s="9"/>
      <c r="S333" s="11"/>
    </row>
    <row r="334" spans="1:19" ht="15.75">
      <c r="A334" s="13">
        <v>51317</v>
      </c>
      <c r="B334" s="8">
        <f>CHOOSE( CONTROL!$C$32, 9.5551, 9.5534) * CHOOSE(CONTROL!$C$15, $D$11, 100%, $F$11)</f>
        <v>9.5550999999999995</v>
      </c>
      <c r="C334" s="8">
        <f>CHOOSE( CONTROL!$C$32, 9.563, 9.5614) * CHOOSE(CONTROL!$C$15, $D$11, 100%, $F$11)</f>
        <v>9.5630000000000006</v>
      </c>
      <c r="D334" s="8">
        <f>CHOOSE( CONTROL!$C$32, 9.56, 9.5583) * CHOOSE( CONTROL!$C$15, $D$11, 100%, $F$11)</f>
        <v>9.56</v>
      </c>
      <c r="E334" s="12">
        <f>CHOOSE( CONTROL!$C$32, 9.5599, 9.5582) * CHOOSE( CONTROL!$C$15, $D$11, 100%, $F$11)</f>
        <v>9.5599000000000007</v>
      </c>
      <c r="F334" s="4">
        <f>CHOOSE( CONTROL!$C$32, 10.262, 10.2603) * CHOOSE(CONTROL!$C$15, $D$11, 100%, $F$11)</f>
        <v>10.262</v>
      </c>
      <c r="G334" s="8">
        <f>CHOOSE( CONTROL!$C$32, 9.4531, 9.4515) * CHOOSE( CONTROL!$C$15, $D$11, 100%, $F$11)</f>
        <v>9.4530999999999992</v>
      </c>
      <c r="H334" s="4">
        <f>CHOOSE( CONTROL!$C$32, 10.3885, 10.3868) * CHOOSE(CONTROL!$C$15, $D$11, 100%, $F$11)</f>
        <v>10.388500000000001</v>
      </c>
      <c r="I334" s="8">
        <f>CHOOSE( CONTROL!$C$32, 9.3843, 9.3826) * CHOOSE(CONTROL!$C$15, $D$11, 100%, $F$11)</f>
        <v>9.3842999999999996</v>
      </c>
      <c r="J334" s="4">
        <f>CHOOSE( CONTROL!$C$32, 9.2624, 9.2608) * CHOOSE(CONTROL!$C$15, $D$11, 100%, $F$11)</f>
        <v>9.2623999999999995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1.2509999999999999</v>
      </c>
      <c r="Q334" s="9">
        <v>29.343599999999999</v>
      </c>
      <c r="R334" s="9"/>
      <c r="S334" s="11"/>
    </row>
    <row r="335" spans="1:19" ht="15.75">
      <c r="A335" s="13">
        <v>51348</v>
      </c>
      <c r="B335" s="8">
        <f>CHOOSE( CONTROL!$C$32, 9.9657, 9.964) * CHOOSE(CONTROL!$C$15, $D$11, 100%, $F$11)</f>
        <v>9.9657</v>
      </c>
      <c r="C335" s="8">
        <f>CHOOSE( CONTROL!$C$32, 9.9736, 9.972) * CHOOSE(CONTROL!$C$15, $D$11, 100%, $F$11)</f>
        <v>9.9735999999999994</v>
      </c>
      <c r="D335" s="8">
        <f>CHOOSE( CONTROL!$C$32, 9.9708, 9.9692) * CHOOSE( CONTROL!$C$15, $D$11, 100%, $F$11)</f>
        <v>9.9708000000000006</v>
      </c>
      <c r="E335" s="12">
        <f>CHOOSE( CONTROL!$C$32, 9.9706, 9.969) * CHOOSE( CONTROL!$C$15, $D$11, 100%, $F$11)</f>
        <v>9.9705999999999992</v>
      </c>
      <c r="F335" s="4">
        <f>CHOOSE( CONTROL!$C$32, 10.6726, 10.671) * CHOOSE(CONTROL!$C$15, $D$11, 100%, $F$11)</f>
        <v>10.672599999999999</v>
      </c>
      <c r="G335" s="8">
        <f>CHOOSE( CONTROL!$C$32, 9.8591, 9.8575) * CHOOSE( CONTROL!$C$15, $D$11, 100%, $F$11)</f>
        <v>9.8590999999999998</v>
      </c>
      <c r="H335" s="4">
        <f>CHOOSE( CONTROL!$C$32, 10.7943, 10.7926) * CHOOSE(CONTROL!$C$15, $D$11, 100%, $F$11)</f>
        <v>10.7943</v>
      </c>
      <c r="I335" s="8">
        <f>CHOOSE( CONTROL!$C$32, 9.7838, 9.7822) * CHOOSE(CONTROL!$C$15, $D$11, 100%, $F$11)</f>
        <v>9.7837999999999994</v>
      </c>
      <c r="J335" s="4">
        <f>CHOOSE( CONTROL!$C$32, 9.6609, 9.6593) * CHOOSE(CONTROL!$C$15, $D$11, 100%, $F$11)</f>
        <v>9.6608999999999998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1.2927</v>
      </c>
      <c r="Q335" s="9">
        <v>30.3217</v>
      </c>
      <c r="R335" s="9"/>
      <c r="S335" s="11"/>
    </row>
    <row r="336" spans="1:19" ht="15.75">
      <c r="A336" s="13">
        <v>51379</v>
      </c>
      <c r="B336" s="8">
        <f>CHOOSE( CONTROL!$C$32, 9.1974, 9.1957) * CHOOSE(CONTROL!$C$15, $D$11, 100%, $F$11)</f>
        <v>9.1974</v>
      </c>
      <c r="C336" s="8">
        <f>CHOOSE( CONTROL!$C$32, 9.2054, 9.2037) * CHOOSE(CONTROL!$C$15, $D$11, 100%, $F$11)</f>
        <v>9.2053999999999991</v>
      </c>
      <c r="D336" s="8">
        <f>CHOOSE( CONTROL!$C$32, 9.2027, 9.201) * CHOOSE( CONTROL!$C$15, $D$11, 100%, $F$11)</f>
        <v>9.2027000000000001</v>
      </c>
      <c r="E336" s="12">
        <f>CHOOSE( CONTROL!$C$32, 9.2025, 9.2008) * CHOOSE( CONTROL!$C$15, $D$11, 100%, $F$11)</f>
        <v>9.2025000000000006</v>
      </c>
      <c r="F336" s="4">
        <f>CHOOSE( CONTROL!$C$32, 9.9043, 9.9027) * CHOOSE(CONTROL!$C$15, $D$11, 100%, $F$11)</f>
        <v>9.9042999999999992</v>
      </c>
      <c r="G336" s="8">
        <f>CHOOSE( CONTROL!$C$32, 9.0999, 9.0983) * CHOOSE( CONTROL!$C$15, $D$11, 100%, $F$11)</f>
        <v>9.0998999999999999</v>
      </c>
      <c r="H336" s="4">
        <f>CHOOSE( CONTROL!$C$32, 10.035, 10.0333) * CHOOSE(CONTROL!$C$15, $D$11, 100%, $F$11)</f>
        <v>10.035</v>
      </c>
      <c r="I336" s="8">
        <f>CHOOSE( CONTROL!$C$32, 9.0381, 9.0365) * CHOOSE(CONTROL!$C$15, $D$11, 100%, $F$11)</f>
        <v>9.0381</v>
      </c>
      <c r="J336" s="4">
        <f>CHOOSE( CONTROL!$C$32, 8.9152, 8.9136) * CHOOSE(CONTROL!$C$15, $D$11, 100%, $F$11)</f>
        <v>8.9152000000000005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1.2927</v>
      </c>
      <c r="Q336" s="9">
        <v>30.3217</v>
      </c>
      <c r="R336" s="9"/>
      <c r="S336" s="11"/>
    </row>
    <row r="337" spans="1:19" ht="15.75">
      <c r="A337" s="13">
        <v>51409</v>
      </c>
      <c r="B337" s="8">
        <f>CHOOSE( CONTROL!$C$32, 9.005, 9.0033) * CHOOSE(CONTROL!$C$15, $D$11, 100%, $F$11)</f>
        <v>9.0050000000000008</v>
      </c>
      <c r="C337" s="8">
        <f>CHOOSE( CONTROL!$C$32, 9.013, 9.0113) * CHOOSE(CONTROL!$C$15, $D$11, 100%, $F$11)</f>
        <v>9.0129999999999999</v>
      </c>
      <c r="D337" s="8">
        <f>CHOOSE( CONTROL!$C$32, 9.0102, 9.0086) * CHOOSE( CONTROL!$C$15, $D$11, 100%, $F$11)</f>
        <v>9.0101999999999993</v>
      </c>
      <c r="E337" s="12">
        <f>CHOOSE( CONTROL!$C$32, 9.01, 9.0084) * CHOOSE( CONTROL!$C$15, $D$11, 100%, $F$11)</f>
        <v>9.01</v>
      </c>
      <c r="F337" s="4">
        <f>CHOOSE( CONTROL!$C$32, 9.7119, 9.7103) * CHOOSE(CONTROL!$C$15, $D$11, 100%, $F$11)</f>
        <v>9.7119</v>
      </c>
      <c r="G337" s="8">
        <f>CHOOSE( CONTROL!$C$32, 8.9098, 8.9081) * CHOOSE( CONTROL!$C$15, $D$11, 100%, $F$11)</f>
        <v>8.9098000000000006</v>
      </c>
      <c r="H337" s="4">
        <f>CHOOSE( CONTROL!$C$32, 9.8448, 9.8432) * CHOOSE(CONTROL!$C$15, $D$11, 100%, $F$11)</f>
        <v>9.8447999999999993</v>
      </c>
      <c r="I337" s="8">
        <f>CHOOSE( CONTROL!$C$32, 8.8512, 8.8495) * CHOOSE(CONTROL!$C$15, $D$11, 100%, $F$11)</f>
        <v>8.8512000000000004</v>
      </c>
      <c r="J337" s="4">
        <f>CHOOSE( CONTROL!$C$32, 8.7285, 8.7269) * CHOOSE(CONTROL!$C$15, $D$11, 100%, $F$11)</f>
        <v>8.7285000000000004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1.2509999999999999</v>
      </c>
      <c r="Q337" s="9">
        <v>29.343599999999999</v>
      </c>
      <c r="R337" s="9"/>
      <c r="S337" s="11"/>
    </row>
    <row r="338" spans="1:19" ht="15.75">
      <c r="A338" s="13">
        <v>51440</v>
      </c>
      <c r="B338" s="8">
        <f>CHOOSE( CONTROL!$C$32, 9.4022, 9.4011) * CHOOSE(CONTROL!$C$15, $D$11, 100%, $F$11)</f>
        <v>9.4022000000000006</v>
      </c>
      <c r="C338" s="8">
        <f>CHOOSE( CONTROL!$C$32, 9.4075, 9.4064) * CHOOSE(CONTROL!$C$15, $D$11, 100%, $F$11)</f>
        <v>9.4075000000000006</v>
      </c>
      <c r="D338" s="8">
        <f>CHOOSE( CONTROL!$C$32, 9.4104, 9.4093) * CHOOSE( CONTROL!$C$15, $D$11, 100%, $F$11)</f>
        <v>9.4103999999999992</v>
      </c>
      <c r="E338" s="12">
        <f>CHOOSE( CONTROL!$C$32, 9.4089, 9.4078) * CHOOSE( CONTROL!$C$15, $D$11, 100%, $F$11)</f>
        <v>9.4088999999999992</v>
      </c>
      <c r="F338" s="4">
        <f>CHOOSE( CONTROL!$C$32, 10.1108, 10.1097) * CHOOSE(CONTROL!$C$15, $D$11, 100%, $F$11)</f>
        <v>10.110799999999999</v>
      </c>
      <c r="G338" s="8">
        <f>CHOOSE( CONTROL!$C$32, 9.3041, 9.3031) * CHOOSE( CONTROL!$C$15, $D$11, 100%, $F$11)</f>
        <v>9.3041</v>
      </c>
      <c r="H338" s="4">
        <f>CHOOSE( CONTROL!$C$32, 10.2391, 10.238) * CHOOSE(CONTROL!$C$15, $D$11, 100%, $F$11)</f>
        <v>10.239100000000001</v>
      </c>
      <c r="I338" s="8">
        <f>CHOOSE( CONTROL!$C$32, 9.2393, 9.2382) * CHOOSE(CONTROL!$C$15, $D$11, 100%, $F$11)</f>
        <v>9.2393000000000001</v>
      </c>
      <c r="J338" s="4">
        <f>CHOOSE( CONTROL!$C$32, 9.1156, 9.1146) * CHOOSE(CONTROL!$C$15, $D$11, 100%, $F$11)</f>
        <v>9.1156000000000006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1.2927</v>
      </c>
      <c r="Q338" s="9">
        <v>30.3217</v>
      </c>
      <c r="R338" s="9"/>
      <c r="S338" s="11"/>
    </row>
    <row r="339" spans="1:19" ht="15.75">
      <c r="A339" s="13">
        <v>51470</v>
      </c>
      <c r="B339" s="8">
        <f>CHOOSE( CONTROL!$C$32, 10.1391, 10.138) * CHOOSE(CONTROL!$C$15, $D$11, 100%, $F$11)</f>
        <v>10.139099999999999</v>
      </c>
      <c r="C339" s="8">
        <f>CHOOSE( CONTROL!$C$32, 10.1442, 10.1431) * CHOOSE(CONTROL!$C$15, $D$11, 100%, $F$11)</f>
        <v>10.1442</v>
      </c>
      <c r="D339" s="8">
        <f>CHOOSE( CONTROL!$C$32, 10.1263, 10.1253) * CHOOSE( CONTROL!$C$15, $D$11, 100%, $F$11)</f>
        <v>10.126300000000001</v>
      </c>
      <c r="E339" s="12">
        <f>CHOOSE( CONTROL!$C$32, 10.1323, 10.1313) * CHOOSE( CONTROL!$C$15, $D$11, 100%, $F$11)</f>
        <v>10.132300000000001</v>
      </c>
      <c r="F339" s="4">
        <f>CHOOSE( CONTROL!$C$32, 10.8044, 10.8033) * CHOOSE(CONTROL!$C$15, $D$11, 100%, $F$11)</f>
        <v>10.804399999999999</v>
      </c>
      <c r="G339" s="8">
        <f>CHOOSE( CONTROL!$C$32, 10.0319, 10.0309) * CHOOSE( CONTROL!$C$15, $D$11, 100%, $F$11)</f>
        <v>10.0319</v>
      </c>
      <c r="H339" s="4">
        <f>CHOOSE( CONTROL!$C$32, 10.9245, 10.9234) * CHOOSE(CONTROL!$C$15, $D$11, 100%, $F$11)</f>
        <v>10.9245</v>
      </c>
      <c r="I339" s="8">
        <f>CHOOSE( CONTROL!$C$32, 10.017, 10.0159) * CHOOSE(CONTROL!$C$15, $D$11, 100%, $F$11)</f>
        <v>10.016999999999999</v>
      </c>
      <c r="J339" s="4">
        <f>CHOOSE( CONTROL!$C$32, 9.8312, 9.8302) * CHOOSE(CONTROL!$C$15, $D$11, 100%, $F$11)</f>
        <v>9.8312000000000008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29.343599999999999</v>
      </c>
      <c r="R339" s="9"/>
      <c r="S339" s="11"/>
    </row>
    <row r="340" spans="1:19" ht="15.75">
      <c r="A340" s="13">
        <v>51501</v>
      </c>
      <c r="B340" s="8">
        <f>CHOOSE( CONTROL!$C$32, 10.1207, 10.1196) * CHOOSE(CONTROL!$C$15, $D$11, 100%, $F$11)</f>
        <v>10.120699999999999</v>
      </c>
      <c r="C340" s="8">
        <f>CHOOSE( CONTROL!$C$32, 10.1257, 10.1247) * CHOOSE(CONTROL!$C$15, $D$11, 100%, $F$11)</f>
        <v>10.1257</v>
      </c>
      <c r="D340" s="8">
        <f>CHOOSE( CONTROL!$C$32, 10.1093, 10.1083) * CHOOSE( CONTROL!$C$15, $D$11, 100%, $F$11)</f>
        <v>10.109299999999999</v>
      </c>
      <c r="E340" s="12">
        <f>CHOOSE( CONTROL!$C$32, 10.1148, 10.1138) * CHOOSE( CONTROL!$C$15, $D$11, 100%, $F$11)</f>
        <v>10.114800000000001</v>
      </c>
      <c r="F340" s="4">
        <f>CHOOSE( CONTROL!$C$32, 10.7859, 10.7849) * CHOOSE(CONTROL!$C$15, $D$11, 100%, $F$11)</f>
        <v>10.7859</v>
      </c>
      <c r="G340" s="8">
        <f>CHOOSE( CONTROL!$C$32, 10.0147, 10.0137) * CHOOSE( CONTROL!$C$15, $D$11, 100%, $F$11)</f>
        <v>10.014699999999999</v>
      </c>
      <c r="H340" s="4">
        <f>CHOOSE( CONTROL!$C$32, 10.9063, 10.9052) * CHOOSE(CONTROL!$C$15, $D$11, 100%, $F$11)</f>
        <v>10.9063</v>
      </c>
      <c r="I340" s="8">
        <f>CHOOSE( CONTROL!$C$32, 10.0035, 10.0025) * CHOOSE(CONTROL!$C$15, $D$11, 100%, $F$11)</f>
        <v>10.003500000000001</v>
      </c>
      <c r="J340" s="4">
        <f>CHOOSE( CONTROL!$C$32, 9.8133, 9.8123) * CHOOSE(CONTROL!$C$15, $D$11, 100%, $F$11)</f>
        <v>9.8132999999999999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30.3217</v>
      </c>
      <c r="R340" s="9"/>
      <c r="S340" s="11"/>
    </row>
    <row r="341" spans="1:19" ht="15.75">
      <c r="A341" s="13">
        <v>51532</v>
      </c>
      <c r="B341" s="8">
        <f>CHOOSE( CONTROL!$C$32, 10.4189, 10.4178) * CHOOSE(CONTROL!$C$15, $D$11, 100%, $F$11)</f>
        <v>10.418900000000001</v>
      </c>
      <c r="C341" s="8">
        <f>CHOOSE( CONTROL!$C$32, 10.424, 10.4229) * CHOOSE(CONTROL!$C$15, $D$11, 100%, $F$11)</f>
        <v>10.423999999999999</v>
      </c>
      <c r="D341" s="8">
        <f>CHOOSE( CONTROL!$C$32, 10.4027, 10.4016) * CHOOSE( CONTROL!$C$15, $D$11, 100%, $F$11)</f>
        <v>10.402699999999999</v>
      </c>
      <c r="E341" s="12">
        <f>CHOOSE( CONTROL!$C$32, 10.4099, 10.4088) * CHOOSE( CONTROL!$C$15, $D$11, 100%, $F$11)</f>
        <v>10.4099</v>
      </c>
      <c r="F341" s="4">
        <f>CHOOSE( CONTROL!$C$32, 11.0842, 11.0831) * CHOOSE(CONTROL!$C$15, $D$11, 100%, $F$11)</f>
        <v>11.084199999999999</v>
      </c>
      <c r="G341" s="8">
        <f>CHOOSE( CONTROL!$C$32, 10.299, 10.2979) * CHOOSE( CONTROL!$C$15, $D$11, 100%, $F$11)</f>
        <v>10.298999999999999</v>
      </c>
      <c r="H341" s="4">
        <f>CHOOSE( CONTROL!$C$32, 11.201, 11.1999) * CHOOSE(CONTROL!$C$15, $D$11, 100%, $F$11)</f>
        <v>11.201000000000001</v>
      </c>
      <c r="I341" s="8">
        <f>CHOOSE( CONTROL!$C$32, 10.2552, 10.2541) * CHOOSE(CONTROL!$C$15, $D$11, 100%, $F$11)</f>
        <v>10.2552</v>
      </c>
      <c r="J341" s="4">
        <f>CHOOSE( CONTROL!$C$32, 10.1028, 10.1017) * CHOOSE(CONTROL!$C$15, $D$11, 100%, $F$11)</f>
        <v>10.1028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30.258500000000002</v>
      </c>
      <c r="R341" s="9"/>
      <c r="S341" s="11"/>
    </row>
    <row r="342" spans="1:19" ht="15.75">
      <c r="A342" s="13">
        <v>51560</v>
      </c>
      <c r="B342" s="8">
        <f>CHOOSE( CONTROL!$C$32, 9.746, 9.7449) * CHOOSE(CONTROL!$C$15, $D$11, 100%, $F$11)</f>
        <v>9.7460000000000004</v>
      </c>
      <c r="C342" s="8">
        <f>CHOOSE( CONTROL!$C$32, 9.7511, 9.75) * CHOOSE(CONTROL!$C$15, $D$11, 100%, $F$11)</f>
        <v>9.7510999999999992</v>
      </c>
      <c r="D342" s="8">
        <f>CHOOSE( CONTROL!$C$32, 9.7296, 9.7286) * CHOOSE( CONTROL!$C$15, $D$11, 100%, $F$11)</f>
        <v>9.7295999999999996</v>
      </c>
      <c r="E342" s="12">
        <f>CHOOSE( CONTROL!$C$32, 9.7369, 9.7359) * CHOOSE( CONTROL!$C$15, $D$11, 100%, $F$11)</f>
        <v>9.7369000000000003</v>
      </c>
      <c r="F342" s="4">
        <f>CHOOSE( CONTROL!$C$32, 10.4113, 10.4102) * CHOOSE(CONTROL!$C$15, $D$11, 100%, $F$11)</f>
        <v>10.411300000000001</v>
      </c>
      <c r="G342" s="8">
        <f>CHOOSE( CONTROL!$C$32, 9.6339, 9.6328) * CHOOSE( CONTROL!$C$15, $D$11, 100%, $F$11)</f>
        <v>9.6339000000000006</v>
      </c>
      <c r="H342" s="4">
        <f>CHOOSE( CONTROL!$C$32, 10.536, 10.5349) * CHOOSE(CONTROL!$C$15, $D$11, 100%, $F$11)</f>
        <v>10.536</v>
      </c>
      <c r="I342" s="8">
        <f>CHOOSE( CONTROL!$C$32, 9.6014, 9.6003) * CHOOSE(CONTROL!$C$15, $D$11, 100%, $F$11)</f>
        <v>9.6013999999999999</v>
      </c>
      <c r="J342" s="4">
        <f>CHOOSE( CONTROL!$C$32, 9.4497, 9.4487) * CHOOSE(CONTROL!$C$15, $D$11, 100%, $F$11)</f>
        <v>9.4497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27.330200000000001</v>
      </c>
      <c r="R342" s="9"/>
      <c r="S342" s="11"/>
    </row>
    <row r="343" spans="1:19" ht="15.75">
      <c r="A343" s="13">
        <v>51591</v>
      </c>
      <c r="B343" s="8">
        <f>CHOOSE( CONTROL!$C$32, 9.5387, 9.5376) * CHOOSE(CONTROL!$C$15, $D$11, 100%, $F$11)</f>
        <v>9.5387000000000004</v>
      </c>
      <c r="C343" s="8">
        <f>CHOOSE( CONTROL!$C$32, 9.5438, 9.5427) * CHOOSE(CONTROL!$C$15, $D$11, 100%, $F$11)</f>
        <v>9.5437999999999992</v>
      </c>
      <c r="D343" s="8">
        <f>CHOOSE( CONTROL!$C$32, 9.5217, 9.5207) * CHOOSE( CONTROL!$C$15, $D$11, 100%, $F$11)</f>
        <v>9.5216999999999992</v>
      </c>
      <c r="E343" s="12">
        <f>CHOOSE( CONTROL!$C$32, 9.5292, 9.5282) * CHOOSE( CONTROL!$C$15, $D$11, 100%, $F$11)</f>
        <v>9.5291999999999994</v>
      </c>
      <c r="F343" s="4">
        <f>CHOOSE( CONTROL!$C$32, 10.204, 10.2029) * CHOOSE(CONTROL!$C$15, $D$11, 100%, $F$11)</f>
        <v>10.204000000000001</v>
      </c>
      <c r="G343" s="8">
        <f>CHOOSE( CONTROL!$C$32, 9.4286, 9.4275) * CHOOSE( CONTROL!$C$15, $D$11, 100%, $F$11)</f>
        <v>9.4285999999999994</v>
      </c>
      <c r="H343" s="4">
        <f>CHOOSE( CONTROL!$C$32, 10.3312, 10.3301) * CHOOSE(CONTROL!$C$15, $D$11, 100%, $F$11)</f>
        <v>10.331200000000001</v>
      </c>
      <c r="I343" s="8">
        <f>CHOOSE( CONTROL!$C$32, 9.3981, 9.3971) * CHOOSE(CONTROL!$C$15, $D$11, 100%, $F$11)</f>
        <v>9.3980999999999995</v>
      </c>
      <c r="J343" s="4">
        <f>CHOOSE( CONTROL!$C$32, 9.2486, 9.2475) * CHOOSE(CONTROL!$C$15, $D$11, 100%, $F$11)</f>
        <v>9.2485999999999997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30.258500000000002</v>
      </c>
      <c r="R343" s="9"/>
      <c r="S343" s="11"/>
    </row>
    <row r="344" spans="1:19" ht="15.75">
      <c r="A344" s="13">
        <v>51621</v>
      </c>
      <c r="B344" s="8">
        <f>CHOOSE( CONTROL!$C$32, 9.6843, 9.6832) * CHOOSE(CONTROL!$C$15, $D$11, 100%, $F$11)</f>
        <v>9.6843000000000004</v>
      </c>
      <c r="C344" s="8">
        <f>CHOOSE( CONTROL!$C$32, 9.6888, 9.6877) * CHOOSE(CONTROL!$C$15, $D$11, 100%, $F$11)</f>
        <v>9.6888000000000005</v>
      </c>
      <c r="D344" s="8">
        <f>CHOOSE( CONTROL!$C$32, 9.6917, 9.6906) * CHOOSE( CONTROL!$C$15, $D$11, 100%, $F$11)</f>
        <v>9.6917000000000009</v>
      </c>
      <c r="E344" s="12">
        <f>CHOOSE( CONTROL!$C$32, 9.6902, 9.6891) * CHOOSE( CONTROL!$C$15, $D$11, 100%, $F$11)</f>
        <v>9.6902000000000008</v>
      </c>
      <c r="F344" s="4">
        <f>CHOOSE( CONTROL!$C$32, 10.3926, 10.3915) * CHOOSE(CONTROL!$C$15, $D$11, 100%, $F$11)</f>
        <v>10.3926</v>
      </c>
      <c r="G344" s="8">
        <f>CHOOSE( CONTROL!$C$32, 9.5822, 9.5811) * CHOOSE( CONTROL!$C$15, $D$11, 100%, $F$11)</f>
        <v>9.5822000000000003</v>
      </c>
      <c r="H344" s="4">
        <f>CHOOSE( CONTROL!$C$32, 10.5176, 10.5165) * CHOOSE(CONTROL!$C$15, $D$11, 100%, $F$11)</f>
        <v>10.5176</v>
      </c>
      <c r="I344" s="8">
        <f>CHOOSE( CONTROL!$C$32, 9.511, 9.51) * CHOOSE(CONTROL!$C$15, $D$11, 100%, $F$11)</f>
        <v>9.5109999999999992</v>
      </c>
      <c r="J344" s="4">
        <f>CHOOSE( CONTROL!$C$32, 9.3891, 9.3881) * CHOOSE(CONTROL!$C$15, $D$11, 100%, $F$11)</f>
        <v>9.3890999999999991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1.2509999999999999</v>
      </c>
      <c r="Q344" s="9">
        <v>29.282399999999999</v>
      </c>
      <c r="R344" s="9"/>
      <c r="S344" s="11"/>
    </row>
    <row r="345" spans="1:19" ht="15.75">
      <c r="A345" s="13">
        <v>51652</v>
      </c>
      <c r="B345" s="8">
        <f>CHOOSE( CONTROL!$C$32, 9.944, 9.9424) * CHOOSE(CONTROL!$C$15, $D$11, 100%, $F$11)</f>
        <v>9.9440000000000008</v>
      </c>
      <c r="C345" s="8">
        <f>CHOOSE( CONTROL!$C$32, 9.952, 9.9503) * CHOOSE(CONTROL!$C$15, $D$11, 100%, $F$11)</f>
        <v>9.952</v>
      </c>
      <c r="D345" s="8">
        <f>CHOOSE( CONTROL!$C$32, 9.9487, 9.9471) * CHOOSE( CONTROL!$C$15, $D$11, 100%, $F$11)</f>
        <v>9.9487000000000005</v>
      </c>
      <c r="E345" s="12">
        <f>CHOOSE( CONTROL!$C$32, 9.9487, 9.9471) * CHOOSE( CONTROL!$C$15, $D$11, 100%, $F$11)</f>
        <v>9.9487000000000005</v>
      </c>
      <c r="F345" s="4">
        <f>CHOOSE( CONTROL!$C$32, 10.651, 10.6493) * CHOOSE(CONTROL!$C$15, $D$11, 100%, $F$11)</f>
        <v>10.651</v>
      </c>
      <c r="G345" s="8">
        <f>CHOOSE( CONTROL!$C$32, 9.8374, 9.8357) * CHOOSE( CONTROL!$C$15, $D$11, 100%, $F$11)</f>
        <v>9.8374000000000006</v>
      </c>
      <c r="H345" s="4">
        <f>CHOOSE( CONTROL!$C$32, 10.7729, 10.7712) * CHOOSE(CONTROL!$C$15, $D$11, 100%, $F$11)</f>
        <v>10.7729</v>
      </c>
      <c r="I345" s="8">
        <f>CHOOSE( CONTROL!$C$32, 9.7611, 9.7595) * CHOOSE(CONTROL!$C$15, $D$11, 100%, $F$11)</f>
        <v>9.7611000000000008</v>
      </c>
      <c r="J345" s="4">
        <f>CHOOSE( CONTROL!$C$32, 9.6398, 9.6382) * CHOOSE(CONTROL!$C$15, $D$11, 100%, $F$11)</f>
        <v>9.6397999999999993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1.2927</v>
      </c>
      <c r="Q345" s="9">
        <v>30.258500000000002</v>
      </c>
      <c r="R345" s="9"/>
      <c r="S345" s="11"/>
    </row>
    <row r="346" spans="1:19" ht="15.75">
      <c r="A346" s="13">
        <v>51682</v>
      </c>
      <c r="B346" s="8">
        <f>CHOOSE( CONTROL!$C$32, 9.7843, 9.7827) * CHOOSE(CONTROL!$C$15, $D$11, 100%, $F$11)</f>
        <v>9.7843</v>
      </c>
      <c r="C346" s="8">
        <f>CHOOSE( CONTROL!$C$32, 9.7923, 9.7907) * CHOOSE(CONTROL!$C$15, $D$11, 100%, $F$11)</f>
        <v>9.7922999999999991</v>
      </c>
      <c r="D346" s="8">
        <f>CHOOSE( CONTROL!$C$32, 9.7893, 9.7876) * CHOOSE( CONTROL!$C$15, $D$11, 100%, $F$11)</f>
        <v>9.7893000000000008</v>
      </c>
      <c r="E346" s="12">
        <f>CHOOSE( CONTROL!$C$32, 9.7892, 9.7875) * CHOOSE( CONTROL!$C$15, $D$11, 100%, $F$11)</f>
        <v>9.7891999999999992</v>
      </c>
      <c r="F346" s="4">
        <f>CHOOSE( CONTROL!$C$32, 10.4913, 10.4896) * CHOOSE(CONTROL!$C$15, $D$11, 100%, $F$11)</f>
        <v>10.491300000000001</v>
      </c>
      <c r="G346" s="8">
        <f>CHOOSE( CONTROL!$C$32, 9.6797, 9.6781) * CHOOSE( CONTROL!$C$15, $D$11, 100%, $F$11)</f>
        <v>9.6797000000000004</v>
      </c>
      <c r="H346" s="4">
        <f>CHOOSE( CONTROL!$C$32, 10.6151, 10.6134) * CHOOSE(CONTROL!$C$15, $D$11, 100%, $F$11)</f>
        <v>10.6151</v>
      </c>
      <c r="I346" s="8">
        <f>CHOOSE( CONTROL!$C$32, 9.6069, 9.6053) * CHOOSE(CONTROL!$C$15, $D$11, 100%, $F$11)</f>
        <v>9.6068999999999996</v>
      </c>
      <c r="J346" s="4">
        <f>CHOOSE( CONTROL!$C$32, 9.4849, 9.4833) * CHOOSE(CONTROL!$C$15, $D$11, 100%, $F$11)</f>
        <v>9.4848999999999997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1.2509999999999999</v>
      </c>
      <c r="Q346" s="9">
        <v>29.282399999999999</v>
      </c>
      <c r="R346" s="9"/>
      <c r="S346" s="11"/>
    </row>
    <row r="347" spans="1:19" ht="15.75">
      <c r="A347" s="13">
        <v>51713</v>
      </c>
      <c r="B347" s="8">
        <f>CHOOSE( CONTROL!$C$32, 10.2048, 10.2032) * CHOOSE(CONTROL!$C$15, $D$11, 100%, $F$11)</f>
        <v>10.204800000000001</v>
      </c>
      <c r="C347" s="8">
        <f>CHOOSE( CONTROL!$C$32, 10.2128, 10.2111) * CHOOSE(CONTROL!$C$15, $D$11, 100%, $F$11)</f>
        <v>10.2128</v>
      </c>
      <c r="D347" s="8">
        <f>CHOOSE( CONTROL!$C$32, 10.21, 10.2083) * CHOOSE( CONTROL!$C$15, $D$11, 100%, $F$11)</f>
        <v>10.210000000000001</v>
      </c>
      <c r="E347" s="12">
        <f>CHOOSE( CONTROL!$C$32, 10.2098, 10.2081) * CHOOSE( CONTROL!$C$15, $D$11, 100%, $F$11)</f>
        <v>10.2098</v>
      </c>
      <c r="F347" s="4">
        <f>CHOOSE( CONTROL!$C$32, 10.9118, 10.9101) * CHOOSE(CONTROL!$C$15, $D$11, 100%, $F$11)</f>
        <v>10.911799999999999</v>
      </c>
      <c r="G347" s="8">
        <f>CHOOSE( CONTROL!$C$32, 10.0955, 10.0938) * CHOOSE( CONTROL!$C$15, $D$11, 100%, $F$11)</f>
        <v>10.095499999999999</v>
      </c>
      <c r="H347" s="4">
        <f>CHOOSE( CONTROL!$C$32, 11.0306, 11.029) * CHOOSE(CONTROL!$C$15, $D$11, 100%, $F$11)</f>
        <v>11.0306</v>
      </c>
      <c r="I347" s="8">
        <f>CHOOSE( CONTROL!$C$32, 10.016, 10.0144) * CHOOSE(CONTROL!$C$15, $D$11, 100%, $F$11)</f>
        <v>10.016</v>
      </c>
      <c r="J347" s="4">
        <f>CHOOSE( CONTROL!$C$32, 9.8929, 9.8913) * CHOOSE(CONTROL!$C$15, $D$11, 100%, $F$11)</f>
        <v>9.8928999999999991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1.2927</v>
      </c>
      <c r="Q347" s="9">
        <v>30.258500000000002</v>
      </c>
      <c r="R347" s="9"/>
      <c r="S347" s="11"/>
    </row>
    <row r="348" spans="1:19" ht="15.75">
      <c r="A348" s="13">
        <v>51744</v>
      </c>
      <c r="B348" s="8">
        <f>CHOOSE( CONTROL!$C$32, 9.4181, 9.4164) * CHOOSE(CONTROL!$C$15, $D$11, 100%, $F$11)</f>
        <v>9.4181000000000008</v>
      </c>
      <c r="C348" s="8">
        <f>CHOOSE( CONTROL!$C$32, 9.426, 9.4244) * CHOOSE(CONTROL!$C$15, $D$11, 100%, $F$11)</f>
        <v>9.4260000000000002</v>
      </c>
      <c r="D348" s="8">
        <f>CHOOSE( CONTROL!$C$32, 9.4233, 9.4217) * CHOOSE( CONTROL!$C$15, $D$11, 100%, $F$11)</f>
        <v>9.4232999999999993</v>
      </c>
      <c r="E348" s="12">
        <f>CHOOSE( CONTROL!$C$32, 9.4231, 9.4215) * CHOOSE( CONTROL!$C$15, $D$11, 100%, $F$11)</f>
        <v>9.4230999999999998</v>
      </c>
      <c r="F348" s="4">
        <f>CHOOSE( CONTROL!$C$32, 10.125, 10.1233) * CHOOSE(CONTROL!$C$15, $D$11, 100%, $F$11)</f>
        <v>10.125</v>
      </c>
      <c r="G348" s="8">
        <f>CHOOSE( CONTROL!$C$32, 9.318, 9.3164) * CHOOSE( CONTROL!$C$15, $D$11, 100%, $F$11)</f>
        <v>9.3179999999999996</v>
      </c>
      <c r="H348" s="4">
        <f>CHOOSE( CONTROL!$C$32, 10.2531, 10.2514) * CHOOSE(CONTROL!$C$15, $D$11, 100%, $F$11)</f>
        <v>10.2531</v>
      </c>
      <c r="I348" s="8">
        <f>CHOOSE( CONTROL!$C$32, 9.2524, 9.2508) * CHOOSE(CONTROL!$C$15, $D$11, 100%, $F$11)</f>
        <v>9.2523999999999997</v>
      </c>
      <c r="J348" s="4">
        <f>CHOOSE( CONTROL!$C$32, 9.1294, 9.1278) * CHOOSE(CONTROL!$C$15, $D$11, 100%, $F$11)</f>
        <v>9.1294000000000004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1.2927</v>
      </c>
      <c r="Q348" s="9">
        <v>30.258500000000002</v>
      </c>
      <c r="R348" s="9"/>
      <c r="S348" s="11"/>
    </row>
    <row r="349" spans="1:19" ht="15.75">
      <c r="A349" s="13">
        <v>51774</v>
      </c>
      <c r="B349" s="8">
        <f>CHOOSE( CONTROL!$C$32, 9.2211, 9.2194) * CHOOSE(CONTROL!$C$15, $D$11, 100%, $F$11)</f>
        <v>9.2210999999999999</v>
      </c>
      <c r="C349" s="8">
        <f>CHOOSE( CONTROL!$C$32, 9.229, 9.2274) * CHOOSE(CONTROL!$C$15, $D$11, 100%, $F$11)</f>
        <v>9.2289999999999992</v>
      </c>
      <c r="D349" s="8">
        <f>CHOOSE( CONTROL!$C$32, 9.2263, 9.2246) * CHOOSE( CONTROL!$C$15, $D$11, 100%, $F$11)</f>
        <v>9.2263000000000002</v>
      </c>
      <c r="E349" s="12">
        <f>CHOOSE( CONTROL!$C$32, 9.2261, 9.2244) * CHOOSE( CONTROL!$C$15, $D$11, 100%, $F$11)</f>
        <v>9.2261000000000006</v>
      </c>
      <c r="F349" s="4">
        <f>CHOOSE( CONTROL!$C$32, 9.928, 9.9263) * CHOOSE(CONTROL!$C$15, $D$11, 100%, $F$11)</f>
        <v>9.9280000000000008</v>
      </c>
      <c r="G349" s="8">
        <f>CHOOSE( CONTROL!$C$32, 9.1233, 9.1216) * CHOOSE( CONTROL!$C$15, $D$11, 100%, $F$11)</f>
        <v>9.1233000000000004</v>
      </c>
      <c r="H349" s="4">
        <f>CHOOSE( CONTROL!$C$32, 10.0584, 10.0567) * CHOOSE(CONTROL!$C$15, $D$11, 100%, $F$11)</f>
        <v>10.058400000000001</v>
      </c>
      <c r="I349" s="8">
        <f>CHOOSE( CONTROL!$C$32, 9.0609, 9.0593) * CHOOSE(CONTROL!$C$15, $D$11, 100%, $F$11)</f>
        <v>9.0609000000000002</v>
      </c>
      <c r="J349" s="4">
        <f>CHOOSE( CONTROL!$C$32, 8.9382, 8.9366) * CHOOSE(CONTROL!$C$15, $D$11, 100%, $F$11)</f>
        <v>8.9382000000000001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1.2509999999999999</v>
      </c>
      <c r="Q349" s="9">
        <v>29.282399999999999</v>
      </c>
      <c r="R349" s="9"/>
      <c r="S349" s="11"/>
    </row>
    <row r="350" spans="1:19" ht="15.75">
      <c r="A350" s="13">
        <v>51805</v>
      </c>
      <c r="B350" s="8">
        <f>CHOOSE( CONTROL!$C$32, 9.6278, 9.6267) * CHOOSE(CONTROL!$C$15, $D$11, 100%, $F$11)</f>
        <v>9.6278000000000006</v>
      </c>
      <c r="C350" s="8">
        <f>CHOOSE( CONTROL!$C$32, 9.6331, 9.6321) * CHOOSE(CONTROL!$C$15, $D$11, 100%, $F$11)</f>
        <v>9.6331000000000007</v>
      </c>
      <c r="D350" s="8">
        <f>CHOOSE( CONTROL!$C$32, 9.636, 9.635) * CHOOSE( CONTROL!$C$15, $D$11, 100%, $F$11)</f>
        <v>9.6359999999999992</v>
      </c>
      <c r="E350" s="12">
        <f>CHOOSE( CONTROL!$C$32, 9.6345, 9.6335) * CHOOSE( CONTROL!$C$15, $D$11, 100%, $F$11)</f>
        <v>9.6344999999999992</v>
      </c>
      <c r="F350" s="4">
        <f>CHOOSE( CONTROL!$C$32, 10.3365, 10.3354) * CHOOSE(CONTROL!$C$15, $D$11, 100%, $F$11)</f>
        <v>10.336499999999999</v>
      </c>
      <c r="G350" s="8">
        <f>CHOOSE( CONTROL!$C$32, 9.5271, 9.5261) * CHOOSE( CONTROL!$C$15, $D$11, 100%, $F$11)</f>
        <v>9.5271000000000008</v>
      </c>
      <c r="H350" s="4">
        <f>CHOOSE( CONTROL!$C$32, 10.4621, 10.461) * CHOOSE(CONTROL!$C$15, $D$11, 100%, $F$11)</f>
        <v>10.4621</v>
      </c>
      <c r="I350" s="8">
        <f>CHOOSE( CONTROL!$C$32, 9.4584, 9.4573) * CHOOSE(CONTROL!$C$15, $D$11, 100%, $F$11)</f>
        <v>9.4583999999999993</v>
      </c>
      <c r="J350" s="4">
        <f>CHOOSE( CONTROL!$C$32, 9.3346, 9.3336) * CHOOSE(CONTROL!$C$15, $D$11, 100%, $F$11)</f>
        <v>9.3346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1.2927</v>
      </c>
      <c r="Q350" s="9">
        <v>30.258500000000002</v>
      </c>
      <c r="R350" s="9"/>
      <c r="S350" s="11"/>
    </row>
    <row r="351" spans="1:19" ht="15.75">
      <c r="A351" s="13">
        <v>51835</v>
      </c>
      <c r="B351" s="8">
        <f>CHOOSE( CONTROL!$C$32, 10.3825, 10.3814) * CHOOSE(CONTROL!$C$15, $D$11, 100%, $F$11)</f>
        <v>10.3825</v>
      </c>
      <c r="C351" s="8">
        <f>CHOOSE( CONTROL!$C$32, 10.3875, 10.3864) * CHOOSE(CONTROL!$C$15, $D$11, 100%, $F$11)</f>
        <v>10.387499999999999</v>
      </c>
      <c r="D351" s="8">
        <f>CHOOSE( CONTROL!$C$32, 10.3697, 10.3686) * CHOOSE( CONTROL!$C$15, $D$11, 100%, $F$11)</f>
        <v>10.3697</v>
      </c>
      <c r="E351" s="12">
        <f>CHOOSE( CONTROL!$C$32, 10.3757, 10.3746) * CHOOSE( CONTROL!$C$15, $D$11, 100%, $F$11)</f>
        <v>10.3757</v>
      </c>
      <c r="F351" s="4">
        <f>CHOOSE( CONTROL!$C$32, 11.0477, 11.0467) * CHOOSE(CONTROL!$C$15, $D$11, 100%, $F$11)</f>
        <v>11.047700000000001</v>
      </c>
      <c r="G351" s="8">
        <f>CHOOSE( CONTROL!$C$32, 10.2724, 10.2714) * CHOOSE( CONTROL!$C$15, $D$11, 100%, $F$11)</f>
        <v>10.272399999999999</v>
      </c>
      <c r="H351" s="4">
        <f>CHOOSE( CONTROL!$C$32, 11.165, 11.1639) * CHOOSE(CONTROL!$C$15, $D$11, 100%, $F$11)</f>
        <v>11.164999999999999</v>
      </c>
      <c r="I351" s="8">
        <f>CHOOSE( CONTROL!$C$32, 10.2533, 10.2522) * CHOOSE(CONTROL!$C$15, $D$11, 100%, $F$11)</f>
        <v>10.253299999999999</v>
      </c>
      <c r="J351" s="4">
        <f>CHOOSE( CONTROL!$C$32, 10.0674, 10.0664) * CHOOSE(CONTROL!$C$15, $D$11, 100%, $F$11)</f>
        <v>10.067399999999999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29.282399999999999</v>
      </c>
      <c r="R351" s="9"/>
      <c r="S351" s="11"/>
    </row>
    <row r="352" spans="1:19" ht="15.75">
      <c r="A352" s="13">
        <v>51866</v>
      </c>
      <c r="B352" s="8">
        <f>CHOOSE( CONTROL!$C$32, 10.3636, 10.3625) * CHOOSE(CONTROL!$C$15, $D$11, 100%, $F$11)</f>
        <v>10.3636</v>
      </c>
      <c r="C352" s="8">
        <f>CHOOSE( CONTROL!$C$32, 10.3687, 10.3676) * CHOOSE(CONTROL!$C$15, $D$11, 100%, $F$11)</f>
        <v>10.3687</v>
      </c>
      <c r="D352" s="8">
        <f>CHOOSE( CONTROL!$C$32, 10.3523, 10.3512) * CHOOSE( CONTROL!$C$15, $D$11, 100%, $F$11)</f>
        <v>10.3523</v>
      </c>
      <c r="E352" s="12">
        <f>CHOOSE( CONTROL!$C$32, 10.3578, 10.3567) * CHOOSE( CONTROL!$C$15, $D$11, 100%, $F$11)</f>
        <v>10.357799999999999</v>
      </c>
      <c r="F352" s="4">
        <f>CHOOSE( CONTROL!$C$32, 11.0289, 11.0278) * CHOOSE(CONTROL!$C$15, $D$11, 100%, $F$11)</f>
        <v>11.0289</v>
      </c>
      <c r="G352" s="8">
        <f>CHOOSE( CONTROL!$C$32, 10.2548, 10.2538) * CHOOSE( CONTROL!$C$15, $D$11, 100%, $F$11)</f>
        <v>10.254799999999999</v>
      </c>
      <c r="H352" s="4">
        <f>CHOOSE( CONTROL!$C$32, 11.1464, 11.1453) * CHOOSE(CONTROL!$C$15, $D$11, 100%, $F$11)</f>
        <v>11.1464</v>
      </c>
      <c r="I352" s="8">
        <f>CHOOSE( CONTROL!$C$32, 10.2394, 10.2384) * CHOOSE(CONTROL!$C$15, $D$11, 100%, $F$11)</f>
        <v>10.2394</v>
      </c>
      <c r="J352" s="4">
        <f>CHOOSE( CONTROL!$C$32, 10.0491, 10.0481) * CHOOSE(CONTROL!$C$15, $D$11, 100%, $F$11)</f>
        <v>10.049099999999999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30.258500000000002</v>
      </c>
      <c r="R352" s="9"/>
      <c r="S352" s="11"/>
    </row>
    <row r="353" spans="1:19" ht="15.75">
      <c r="A353" s="13">
        <v>51897</v>
      </c>
      <c r="B353" s="8">
        <f>CHOOSE( CONTROL!$C$32, 10.669, 10.6679) * CHOOSE(CONTROL!$C$15, $D$11, 100%, $F$11)</f>
        <v>10.669</v>
      </c>
      <c r="C353" s="8">
        <f>CHOOSE( CONTROL!$C$32, 10.6741, 10.673) * CHOOSE(CONTROL!$C$15, $D$11, 100%, $F$11)</f>
        <v>10.674099999999999</v>
      </c>
      <c r="D353" s="8">
        <f>CHOOSE( CONTROL!$C$32, 10.6528, 10.6517) * CHOOSE( CONTROL!$C$15, $D$11, 100%, $F$11)</f>
        <v>10.652799999999999</v>
      </c>
      <c r="E353" s="12">
        <f>CHOOSE( CONTROL!$C$32, 10.66, 10.6589) * CHOOSE( CONTROL!$C$15, $D$11, 100%, $F$11)</f>
        <v>10.66</v>
      </c>
      <c r="F353" s="4">
        <f>CHOOSE( CONTROL!$C$32, 11.3343, 11.3332) * CHOOSE(CONTROL!$C$15, $D$11, 100%, $F$11)</f>
        <v>11.334300000000001</v>
      </c>
      <c r="G353" s="8">
        <f>CHOOSE( CONTROL!$C$32, 10.5462, 10.5451) * CHOOSE( CONTROL!$C$15, $D$11, 100%, $F$11)</f>
        <v>10.546200000000001</v>
      </c>
      <c r="H353" s="4">
        <f>CHOOSE( CONTROL!$C$32, 11.4482, 11.4471) * CHOOSE(CONTROL!$C$15, $D$11, 100%, $F$11)</f>
        <v>11.4482</v>
      </c>
      <c r="I353" s="8">
        <f>CHOOSE( CONTROL!$C$32, 10.498, 10.497) * CHOOSE(CONTROL!$C$15, $D$11, 100%, $F$11)</f>
        <v>10.497999999999999</v>
      </c>
      <c r="J353" s="4">
        <f>CHOOSE( CONTROL!$C$32, 10.3455, 10.3444) * CHOOSE(CONTROL!$C$15, $D$11, 100%, $F$11)</f>
        <v>10.345499999999999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20.593900000000001</v>
      </c>
      <c r="R353" s="9"/>
      <c r="S353" s="11"/>
    </row>
    <row r="354" spans="1:19" ht="15.75">
      <c r="A354" s="13">
        <v>51925</v>
      </c>
      <c r="B354" s="8">
        <f>CHOOSE( CONTROL!$C$32, 9.9799, 9.9788) * CHOOSE(CONTROL!$C$15, $D$11, 100%, $F$11)</f>
        <v>9.9799000000000007</v>
      </c>
      <c r="C354" s="8">
        <f>CHOOSE( CONTROL!$C$32, 9.985, 9.9839) * CHOOSE(CONTROL!$C$15, $D$11, 100%, $F$11)</f>
        <v>9.9849999999999994</v>
      </c>
      <c r="D354" s="8">
        <f>CHOOSE( CONTROL!$C$32, 9.9636, 9.9625) * CHOOSE( CONTROL!$C$15, $D$11, 100%, $F$11)</f>
        <v>9.9635999999999996</v>
      </c>
      <c r="E354" s="12">
        <f>CHOOSE( CONTROL!$C$32, 9.9709, 9.9698) * CHOOSE( CONTROL!$C$15, $D$11, 100%, $F$11)</f>
        <v>9.9709000000000003</v>
      </c>
      <c r="F354" s="4">
        <f>CHOOSE( CONTROL!$C$32, 10.6452, 10.6441) * CHOOSE(CONTROL!$C$15, $D$11, 100%, $F$11)</f>
        <v>10.645200000000001</v>
      </c>
      <c r="G354" s="8">
        <f>CHOOSE( CONTROL!$C$32, 9.8651, 9.864) * CHOOSE( CONTROL!$C$15, $D$11, 100%, $F$11)</f>
        <v>9.8651</v>
      </c>
      <c r="H354" s="4">
        <f>CHOOSE( CONTROL!$C$32, 10.7672, 10.7661) * CHOOSE(CONTROL!$C$15, $D$11, 100%, $F$11)</f>
        <v>10.767200000000001</v>
      </c>
      <c r="I354" s="8">
        <f>CHOOSE( CONTROL!$C$32, 9.8285, 9.8275) * CHOOSE(CONTROL!$C$15, $D$11, 100%, $F$11)</f>
        <v>9.8285</v>
      </c>
      <c r="J354" s="4">
        <f>CHOOSE( CONTROL!$C$32, 9.6767, 9.6757) * CHOOSE(CONTROL!$C$15, $D$11, 100%, $F$11)</f>
        <v>9.6767000000000003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18.600999999999999</v>
      </c>
      <c r="R354" s="9"/>
      <c r="S354" s="11"/>
    </row>
    <row r="355" spans="1:19" ht="15.75">
      <c r="A355" s="13">
        <v>51956</v>
      </c>
      <c r="B355" s="8">
        <f>CHOOSE( CONTROL!$C$32, 9.7677, 9.7666) * CHOOSE(CONTROL!$C$15, $D$11, 100%, $F$11)</f>
        <v>9.7676999999999996</v>
      </c>
      <c r="C355" s="8">
        <f>CHOOSE( CONTROL!$C$32, 9.7727, 9.7717) * CHOOSE(CONTROL!$C$15, $D$11, 100%, $F$11)</f>
        <v>9.7727000000000004</v>
      </c>
      <c r="D355" s="8">
        <f>CHOOSE( CONTROL!$C$32, 9.7507, 9.7496) * CHOOSE( CONTROL!$C$15, $D$11, 100%, $F$11)</f>
        <v>9.7507000000000001</v>
      </c>
      <c r="E355" s="12">
        <f>CHOOSE( CONTROL!$C$32, 9.7582, 9.7571) * CHOOSE( CONTROL!$C$15, $D$11, 100%, $F$11)</f>
        <v>9.7582000000000004</v>
      </c>
      <c r="F355" s="4">
        <f>CHOOSE( CONTROL!$C$32, 10.433, 10.4319) * CHOOSE(CONTROL!$C$15, $D$11, 100%, $F$11)</f>
        <v>10.433</v>
      </c>
      <c r="G355" s="8">
        <f>CHOOSE( CONTROL!$C$32, 9.6549, 9.6538) * CHOOSE( CONTROL!$C$15, $D$11, 100%, $F$11)</f>
        <v>9.6548999999999996</v>
      </c>
      <c r="H355" s="4">
        <f>CHOOSE( CONTROL!$C$32, 10.5574, 10.5563) * CHOOSE(CONTROL!$C$15, $D$11, 100%, $F$11)</f>
        <v>10.557399999999999</v>
      </c>
      <c r="I355" s="8">
        <f>CHOOSE( CONTROL!$C$32, 9.6205, 9.6194) * CHOOSE(CONTROL!$C$15, $D$11, 100%, $F$11)</f>
        <v>9.6204999999999998</v>
      </c>
      <c r="J355" s="4">
        <f>CHOOSE( CONTROL!$C$32, 9.4708, 9.4697) * CHOOSE(CONTROL!$C$15, $D$11, 100%, $F$11)</f>
        <v>9.4708000000000006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20.593900000000001</v>
      </c>
      <c r="R355" s="9"/>
      <c r="S355" s="11"/>
    </row>
    <row r="356" spans="1:19" ht="15.75">
      <c r="A356" s="13">
        <v>51986</v>
      </c>
      <c r="B356" s="8">
        <f>CHOOSE( CONTROL!$C$32, 9.9167, 9.9157) * CHOOSE(CONTROL!$C$15, $D$11, 100%, $F$11)</f>
        <v>9.9167000000000005</v>
      </c>
      <c r="C356" s="8">
        <f>CHOOSE( CONTROL!$C$32, 9.9212, 9.9202) * CHOOSE(CONTROL!$C$15, $D$11, 100%, $F$11)</f>
        <v>9.9212000000000007</v>
      </c>
      <c r="D356" s="8">
        <f>CHOOSE( CONTROL!$C$32, 9.9241, 9.923) * CHOOSE( CONTROL!$C$15, $D$11, 100%, $F$11)</f>
        <v>9.9240999999999993</v>
      </c>
      <c r="E356" s="12">
        <f>CHOOSE( CONTROL!$C$32, 9.9226, 9.9216) * CHOOSE( CONTROL!$C$15, $D$11, 100%, $F$11)</f>
        <v>9.9225999999999992</v>
      </c>
      <c r="F356" s="4">
        <f>CHOOSE( CONTROL!$C$32, 10.6251, 10.624) * CHOOSE(CONTROL!$C$15, $D$11, 100%, $F$11)</f>
        <v>10.6251</v>
      </c>
      <c r="G356" s="8">
        <f>CHOOSE( CONTROL!$C$32, 9.8119, 9.8108) * CHOOSE( CONTROL!$C$15, $D$11, 100%, $F$11)</f>
        <v>9.8118999999999996</v>
      </c>
      <c r="H356" s="4">
        <f>CHOOSE( CONTROL!$C$32, 10.7473, 10.7462) * CHOOSE(CONTROL!$C$15, $D$11, 100%, $F$11)</f>
        <v>10.747299999999999</v>
      </c>
      <c r="I356" s="8">
        <f>CHOOSE( CONTROL!$C$32, 9.7367, 9.7357) * CHOOSE(CONTROL!$C$15, $D$11, 100%, $F$11)</f>
        <v>9.7367000000000008</v>
      </c>
      <c r="J356" s="4">
        <f>CHOOSE( CONTROL!$C$32, 9.6147, 9.6137) * CHOOSE(CONTROL!$C$15, $D$11, 100%, $F$11)</f>
        <v>9.6146999999999991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1.2509999999999999</v>
      </c>
      <c r="Q356" s="9">
        <v>19.929600000000001</v>
      </c>
      <c r="R356" s="9"/>
      <c r="S356" s="11"/>
    </row>
    <row r="357" spans="1:19" ht="15.75">
      <c r="A357" s="13">
        <v>52017</v>
      </c>
      <c r="B357" s="8">
        <f>CHOOSE( CONTROL!$C$32, 10.1826, 10.181) * CHOOSE(CONTROL!$C$15, $D$11, 100%, $F$11)</f>
        <v>10.182600000000001</v>
      </c>
      <c r="C357" s="8">
        <f>CHOOSE( CONTROL!$C$32, 10.1906, 10.1889) * CHOOSE(CONTROL!$C$15, $D$11, 100%, $F$11)</f>
        <v>10.1906</v>
      </c>
      <c r="D357" s="8">
        <f>CHOOSE( CONTROL!$C$32, 10.1873, 10.1857) * CHOOSE( CONTROL!$C$15, $D$11, 100%, $F$11)</f>
        <v>10.1873</v>
      </c>
      <c r="E357" s="12">
        <f>CHOOSE( CONTROL!$C$32, 10.1873, 10.1857) * CHOOSE( CONTROL!$C$15, $D$11, 100%, $F$11)</f>
        <v>10.1873</v>
      </c>
      <c r="F357" s="4">
        <f>CHOOSE( CONTROL!$C$32, 10.8896, 10.8879) * CHOOSE(CONTROL!$C$15, $D$11, 100%, $F$11)</f>
        <v>10.8896</v>
      </c>
      <c r="G357" s="8">
        <f>CHOOSE( CONTROL!$C$32, 10.0732, 10.0715) * CHOOSE( CONTROL!$C$15, $D$11, 100%, $F$11)</f>
        <v>10.0732</v>
      </c>
      <c r="H357" s="4">
        <f>CHOOSE( CONTROL!$C$32, 11.0087, 11.0071) * CHOOSE(CONTROL!$C$15, $D$11, 100%, $F$11)</f>
        <v>11.008699999999999</v>
      </c>
      <c r="I357" s="8">
        <f>CHOOSE( CONTROL!$C$32, 9.9928, 9.9912) * CHOOSE(CONTROL!$C$15, $D$11, 100%, $F$11)</f>
        <v>9.9928000000000008</v>
      </c>
      <c r="J357" s="4">
        <f>CHOOSE( CONTROL!$C$32, 9.8714, 9.8698) * CHOOSE(CONTROL!$C$15, $D$11, 100%, $F$11)</f>
        <v>9.8713999999999995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1.2927</v>
      </c>
      <c r="Q357" s="9">
        <v>20.593900000000001</v>
      </c>
      <c r="R357" s="9"/>
      <c r="S357" s="11"/>
    </row>
    <row r="358" spans="1:19" ht="15.75">
      <c r="A358" s="13">
        <v>52047</v>
      </c>
      <c r="B358" s="8">
        <f>CHOOSE( CONTROL!$C$32, 10.0191, 10.0175) * CHOOSE(CONTROL!$C$15, $D$11, 100%, $F$11)</f>
        <v>10.0191</v>
      </c>
      <c r="C358" s="8">
        <f>CHOOSE( CONTROL!$C$32, 10.0271, 10.0254) * CHOOSE(CONTROL!$C$15, $D$11, 100%, $F$11)</f>
        <v>10.027100000000001</v>
      </c>
      <c r="D358" s="8">
        <f>CHOOSE( CONTROL!$C$32, 10.0241, 10.0224) * CHOOSE( CONTROL!$C$15, $D$11, 100%, $F$11)</f>
        <v>10.024100000000001</v>
      </c>
      <c r="E358" s="12">
        <f>CHOOSE( CONTROL!$C$32, 10.024, 10.0223) * CHOOSE( CONTROL!$C$15, $D$11, 100%, $F$11)</f>
        <v>10.023999999999999</v>
      </c>
      <c r="F358" s="4">
        <f>CHOOSE( CONTROL!$C$32, 10.7261, 10.7244) * CHOOSE(CONTROL!$C$15, $D$11, 100%, $F$11)</f>
        <v>10.726100000000001</v>
      </c>
      <c r="G358" s="8">
        <f>CHOOSE( CONTROL!$C$32, 9.9118, 9.9101) * CHOOSE( CONTROL!$C$15, $D$11, 100%, $F$11)</f>
        <v>9.9117999999999995</v>
      </c>
      <c r="H358" s="4">
        <f>CHOOSE( CONTROL!$C$32, 10.8471, 10.8455) * CHOOSE(CONTROL!$C$15, $D$11, 100%, $F$11)</f>
        <v>10.847099999999999</v>
      </c>
      <c r="I358" s="8">
        <f>CHOOSE( CONTROL!$C$32, 9.8348, 9.8332) * CHOOSE(CONTROL!$C$15, $D$11, 100%, $F$11)</f>
        <v>9.8347999999999995</v>
      </c>
      <c r="J358" s="4">
        <f>CHOOSE( CONTROL!$C$32, 9.7127, 9.7111) * CHOOSE(CONTROL!$C$15, $D$11, 100%, $F$11)</f>
        <v>9.7126999999999999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1.2509999999999999</v>
      </c>
      <c r="Q358" s="9">
        <v>19.929600000000001</v>
      </c>
      <c r="R358" s="9"/>
      <c r="S358" s="11"/>
    </row>
    <row r="359" spans="1:19" ht="15.75">
      <c r="A359" s="13">
        <v>52078</v>
      </c>
      <c r="B359" s="8">
        <f>CHOOSE( CONTROL!$C$32, 10.4497, 10.448) * CHOOSE(CONTROL!$C$15, $D$11, 100%, $F$11)</f>
        <v>10.4497</v>
      </c>
      <c r="C359" s="8">
        <f>CHOOSE( CONTROL!$C$32, 10.4577, 10.456) * CHOOSE(CONTROL!$C$15, $D$11, 100%, $F$11)</f>
        <v>10.457700000000001</v>
      </c>
      <c r="D359" s="8">
        <f>CHOOSE( CONTROL!$C$32, 10.4549, 10.4532) * CHOOSE( CONTROL!$C$15, $D$11, 100%, $F$11)</f>
        <v>10.4549</v>
      </c>
      <c r="E359" s="12">
        <f>CHOOSE( CONTROL!$C$32, 10.4547, 10.453) * CHOOSE( CONTROL!$C$15, $D$11, 100%, $F$11)</f>
        <v>10.454700000000001</v>
      </c>
      <c r="F359" s="4">
        <f>CHOOSE( CONTROL!$C$32, 11.1566, 11.155) * CHOOSE(CONTROL!$C$15, $D$11, 100%, $F$11)</f>
        <v>11.156599999999999</v>
      </c>
      <c r="G359" s="8">
        <f>CHOOSE( CONTROL!$C$32, 10.3375, 10.3359) * CHOOSE( CONTROL!$C$15, $D$11, 100%, $F$11)</f>
        <v>10.3375</v>
      </c>
      <c r="H359" s="4">
        <f>CHOOSE( CONTROL!$C$32, 11.2726, 11.271) * CHOOSE(CONTROL!$C$15, $D$11, 100%, $F$11)</f>
        <v>11.272600000000001</v>
      </c>
      <c r="I359" s="8">
        <f>CHOOSE( CONTROL!$C$32, 10.2538, 10.2522) * CHOOSE(CONTROL!$C$15, $D$11, 100%, $F$11)</f>
        <v>10.2538</v>
      </c>
      <c r="J359" s="4">
        <f>CHOOSE( CONTROL!$C$32, 10.1306, 10.129) * CHOOSE(CONTROL!$C$15, $D$11, 100%, $F$11)</f>
        <v>10.130599999999999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1.2927</v>
      </c>
      <c r="Q359" s="9">
        <v>20.593900000000001</v>
      </c>
      <c r="R359" s="9"/>
      <c r="S359" s="11"/>
    </row>
    <row r="360" spans="1:19" ht="15.75">
      <c r="A360" s="13">
        <v>52109</v>
      </c>
      <c r="B360" s="8">
        <f>CHOOSE( CONTROL!$C$32, 9.644, 9.6424) * CHOOSE(CONTROL!$C$15, $D$11, 100%, $F$11)</f>
        <v>9.6440000000000001</v>
      </c>
      <c r="C360" s="8">
        <f>CHOOSE( CONTROL!$C$32, 9.652, 9.6504) * CHOOSE(CONTROL!$C$15, $D$11, 100%, $F$11)</f>
        <v>9.6519999999999992</v>
      </c>
      <c r="D360" s="8">
        <f>CHOOSE( CONTROL!$C$32, 9.6493, 9.6477) * CHOOSE( CONTROL!$C$15, $D$11, 100%, $F$11)</f>
        <v>9.6493000000000002</v>
      </c>
      <c r="E360" s="12">
        <f>CHOOSE( CONTROL!$C$32, 9.6491, 9.6475) * CHOOSE( CONTROL!$C$15, $D$11, 100%, $F$11)</f>
        <v>9.6491000000000007</v>
      </c>
      <c r="F360" s="4">
        <f>CHOOSE( CONTROL!$C$32, 10.351, 10.3493) * CHOOSE(CONTROL!$C$15, $D$11, 100%, $F$11)</f>
        <v>10.351000000000001</v>
      </c>
      <c r="G360" s="8">
        <f>CHOOSE( CONTROL!$C$32, 9.5414, 9.5397) * CHOOSE( CONTROL!$C$15, $D$11, 100%, $F$11)</f>
        <v>9.5413999999999994</v>
      </c>
      <c r="H360" s="4">
        <f>CHOOSE( CONTROL!$C$32, 10.4764, 10.4748) * CHOOSE(CONTROL!$C$15, $D$11, 100%, $F$11)</f>
        <v>10.4764</v>
      </c>
      <c r="I360" s="8">
        <f>CHOOSE( CONTROL!$C$32, 9.4718, 9.4702) * CHOOSE(CONTROL!$C$15, $D$11, 100%, $F$11)</f>
        <v>9.4718</v>
      </c>
      <c r="J360" s="4">
        <f>CHOOSE( CONTROL!$C$32, 9.3487, 9.3471) * CHOOSE(CONTROL!$C$15, $D$11, 100%, $F$11)</f>
        <v>9.3486999999999991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1.2927</v>
      </c>
      <c r="Q360" s="9">
        <v>20.593900000000001</v>
      </c>
      <c r="R360" s="9"/>
      <c r="S360" s="11"/>
    </row>
    <row r="361" spans="1:19" ht="15.75">
      <c r="A361" s="13">
        <v>52139</v>
      </c>
      <c r="B361" s="8">
        <f>CHOOSE( CONTROL!$C$32, 9.4423, 9.4406) * CHOOSE(CONTROL!$C$15, $D$11, 100%, $F$11)</f>
        <v>9.4422999999999995</v>
      </c>
      <c r="C361" s="8">
        <f>CHOOSE( CONTROL!$C$32, 9.4503, 9.4486) * CHOOSE(CONTROL!$C$15, $D$11, 100%, $F$11)</f>
        <v>9.4503000000000004</v>
      </c>
      <c r="D361" s="8">
        <f>CHOOSE( CONTROL!$C$32, 9.4475, 9.4459) * CHOOSE( CONTROL!$C$15, $D$11, 100%, $F$11)</f>
        <v>9.4474999999999998</v>
      </c>
      <c r="E361" s="12">
        <f>CHOOSE( CONTROL!$C$32, 9.4473, 9.4457) * CHOOSE( CONTROL!$C$15, $D$11, 100%, $F$11)</f>
        <v>9.4473000000000003</v>
      </c>
      <c r="F361" s="4">
        <f>CHOOSE( CONTROL!$C$32, 10.1492, 10.1476) * CHOOSE(CONTROL!$C$15, $D$11, 100%, $F$11)</f>
        <v>10.1492</v>
      </c>
      <c r="G361" s="8">
        <f>CHOOSE( CONTROL!$C$32, 9.3419, 9.3403) * CHOOSE( CONTROL!$C$15, $D$11, 100%, $F$11)</f>
        <v>9.3419000000000008</v>
      </c>
      <c r="H361" s="4">
        <f>CHOOSE( CONTROL!$C$32, 10.277, 10.2754) * CHOOSE(CONTROL!$C$15, $D$11, 100%, $F$11)</f>
        <v>10.276999999999999</v>
      </c>
      <c r="I361" s="8">
        <f>CHOOSE( CONTROL!$C$32, 9.2758, 9.2742) * CHOOSE(CONTROL!$C$15, $D$11, 100%, $F$11)</f>
        <v>9.2758000000000003</v>
      </c>
      <c r="J361" s="4">
        <f>CHOOSE( CONTROL!$C$32, 9.1529, 9.1513) * CHOOSE(CONTROL!$C$15, $D$11, 100%, $F$11)</f>
        <v>9.1529000000000007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1.2509999999999999</v>
      </c>
      <c r="Q361" s="9">
        <v>19.929600000000001</v>
      </c>
      <c r="R361" s="9"/>
      <c r="S361" s="11"/>
    </row>
    <row r="362" spans="1:19" ht="15.75">
      <c r="A362" s="13">
        <v>52170</v>
      </c>
      <c r="B362" s="8">
        <f>CHOOSE( CONTROL!$C$32, 9.8589, 9.8578) * CHOOSE(CONTROL!$C$15, $D$11, 100%, $F$11)</f>
        <v>9.8589000000000002</v>
      </c>
      <c r="C362" s="8">
        <f>CHOOSE( CONTROL!$C$32, 9.8642, 9.8631) * CHOOSE(CONTROL!$C$15, $D$11, 100%, $F$11)</f>
        <v>9.8642000000000003</v>
      </c>
      <c r="D362" s="8">
        <f>CHOOSE( CONTROL!$C$32, 9.8671, 9.866) * CHOOSE( CONTROL!$C$15, $D$11, 100%, $F$11)</f>
        <v>9.8671000000000006</v>
      </c>
      <c r="E362" s="12">
        <f>CHOOSE( CONTROL!$C$32, 9.8656, 9.8645) * CHOOSE( CONTROL!$C$15, $D$11, 100%, $F$11)</f>
        <v>9.8656000000000006</v>
      </c>
      <c r="F362" s="4">
        <f>CHOOSE( CONTROL!$C$32, 10.5676, 10.5665) * CHOOSE(CONTROL!$C$15, $D$11, 100%, $F$11)</f>
        <v>10.567600000000001</v>
      </c>
      <c r="G362" s="8">
        <f>CHOOSE( CONTROL!$C$32, 9.7555, 9.7544) * CHOOSE( CONTROL!$C$15, $D$11, 100%, $F$11)</f>
        <v>9.7554999999999996</v>
      </c>
      <c r="H362" s="4">
        <f>CHOOSE( CONTROL!$C$32, 10.6904, 10.6894) * CHOOSE(CONTROL!$C$15, $D$11, 100%, $F$11)</f>
        <v>10.6904</v>
      </c>
      <c r="I362" s="8">
        <f>CHOOSE( CONTROL!$C$32, 9.6828, 9.6817) * CHOOSE(CONTROL!$C$15, $D$11, 100%, $F$11)</f>
        <v>9.6828000000000003</v>
      </c>
      <c r="J362" s="4">
        <f>CHOOSE( CONTROL!$C$32, 9.5589, 9.5579) * CHOOSE(CONTROL!$C$15, $D$11, 100%, $F$11)</f>
        <v>9.5588999999999995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1.2927</v>
      </c>
      <c r="Q362" s="9">
        <v>20.593900000000001</v>
      </c>
      <c r="R362" s="9"/>
      <c r="S362" s="11"/>
    </row>
    <row r="363" spans="1:19" ht="15.75">
      <c r="A363" s="13">
        <v>52200</v>
      </c>
      <c r="B363" s="8">
        <f>CHOOSE( CONTROL!$C$32, 10.6317, 10.6306) * CHOOSE(CONTROL!$C$15, $D$11, 100%, $F$11)</f>
        <v>10.6317</v>
      </c>
      <c r="C363" s="8">
        <f>CHOOSE( CONTROL!$C$32, 10.6368, 10.6357) * CHOOSE(CONTROL!$C$15, $D$11, 100%, $F$11)</f>
        <v>10.636799999999999</v>
      </c>
      <c r="D363" s="8">
        <f>CHOOSE( CONTROL!$C$32, 10.6189, 10.6178) * CHOOSE( CONTROL!$C$15, $D$11, 100%, $F$11)</f>
        <v>10.6189</v>
      </c>
      <c r="E363" s="12">
        <f>CHOOSE( CONTROL!$C$32, 10.6249, 10.6238) * CHOOSE( CONTROL!$C$15, $D$11, 100%, $F$11)</f>
        <v>10.6249</v>
      </c>
      <c r="F363" s="4">
        <f>CHOOSE( CONTROL!$C$32, 11.297, 11.2959) * CHOOSE(CONTROL!$C$15, $D$11, 100%, $F$11)</f>
        <v>11.297000000000001</v>
      </c>
      <c r="G363" s="8">
        <f>CHOOSE( CONTROL!$C$32, 10.5187, 10.5177) * CHOOSE( CONTROL!$C$15, $D$11, 100%, $F$11)</f>
        <v>10.518700000000001</v>
      </c>
      <c r="H363" s="4">
        <f>CHOOSE( CONTROL!$C$32, 11.4113, 11.4102) * CHOOSE(CONTROL!$C$15, $D$11, 100%, $F$11)</f>
        <v>11.411300000000001</v>
      </c>
      <c r="I363" s="8">
        <f>CHOOSE( CONTROL!$C$32, 10.4953, 10.4942) * CHOOSE(CONTROL!$C$15, $D$11, 100%, $F$11)</f>
        <v>10.4953</v>
      </c>
      <c r="J363" s="4">
        <f>CHOOSE( CONTROL!$C$32, 10.3093, 10.3082) * CHOOSE(CONTROL!$C$15, $D$11, 100%, $F$11)</f>
        <v>10.3093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19.929600000000001</v>
      </c>
      <c r="R363" s="9"/>
      <c r="S363" s="11"/>
    </row>
    <row r="364" spans="1:19" ht="15.75">
      <c r="A364" s="13">
        <v>52231</v>
      </c>
      <c r="B364" s="8">
        <f>CHOOSE( CONTROL!$C$32, 10.6124, 10.6113) * CHOOSE(CONTROL!$C$15, $D$11, 100%, $F$11)</f>
        <v>10.612399999999999</v>
      </c>
      <c r="C364" s="8">
        <f>CHOOSE( CONTROL!$C$32, 10.6174, 10.6164) * CHOOSE(CONTROL!$C$15, $D$11, 100%, $F$11)</f>
        <v>10.6174</v>
      </c>
      <c r="D364" s="8">
        <f>CHOOSE( CONTROL!$C$32, 10.601, 10.6) * CHOOSE( CONTROL!$C$15, $D$11, 100%, $F$11)</f>
        <v>10.601000000000001</v>
      </c>
      <c r="E364" s="12">
        <f>CHOOSE( CONTROL!$C$32, 10.6065, 10.6055) * CHOOSE( CONTROL!$C$15, $D$11, 100%, $F$11)</f>
        <v>10.6065</v>
      </c>
      <c r="F364" s="4">
        <f>CHOOSE( CONTROL!$C$32, 11.2776, 11.2766) * CHOOSE(CONTROL!$C$15, $D$11, 100%, $F$11)</f>
        <v>11.2776</v>
      </c>
      <c r="G364" s="8">
        <f>CHOOSE( CONTROL!$C$32, 10.5007, 10.4996) * CHOOSE( CONTROL!$C$15, $D$11, 100%, $F$11)</f>
        <v>10.5007</v>
      </c>
      <c r="H364" s="4">
        <f>CHOOSE( CONTROL!$C$32, 11.3922, 11.3911) * CHOOSE(CONTROL!$C$15, $D$11, 100%, $F$11)</f>
        <v>11.392200000000001</v>
      </c>
      <c r="I364" s="8">
        <f>CHOOSE( CONTROL!$C$32, 10.481, 10.4799) * CHOOSE(CONTROL!$C$15, $D$11, 100%, $F$11)</f>
        <v>10.481</v>
      </c>
      <c r="J364" s="4">
        <f>CHOOSE( CONTROL!$C$32, 10.2905, 10.2895) * CHOOSE(CONTROL!$C$15, $D$11, 100%, $F$11)</f>
        <v>10.2905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20.593900000000001</v>
      </c>
      <c r="R364" s="9"/>
      <c r="S364" s="11"/>
    </row>
    <row r="365" spans="1:19" ht="15.75">
      <c r="A365" s="13">
        <v>52262</v>
      </c>
      <c r="B365" s="8">
        <f>CHOOSE( CONTROL!$C$32, 10.9251, 10.924) * CHOOSE(CONTROL!$C$15, $D$11, 100%, $F$11)</f>
        <v>10.9251</v>
      </c>
      <c r="C365" s="8">
        <f>CHOOSE( CONTROL!$C$32, 10.9302, 10.9291) * CHOOSE(CONTROL!$C$15, $D$11, 100%, $F$11)</f>
        <v>10.930199999999999</v>
      </c>
      <c r="D365" s="8">
        <f>CHOOSE( CONTROL!$C$32, 10.9089, 10.9078) * CHOOSE( CONTROL!$C$15, $D$11, 100%, $F$11)</f>
        <v>10.908899999999999</v>
      </c>
      <c r="E365" s="12">
        <f>CHOOSE( CONTROL!$C$32, 10.9161, 10.915) * CHOOSE( CONTROL!$C$15, $D$11, 100%, $F$11)</f>
        <v>10.9161</v>
      </c>
      <c r="F365" s="4">
        <f>CHOOSE( CONTROL!$C$32, 11.5904, 11.5893) * CHOOSE(CONTROL!$C$15, $D$11, 100%, $F$11)</f>
        <v>11.590400000000001</v>
      </c>
      <c r="G365" s="8">
        <f>CHOOSE( CONTROL!$C$32, 10.7993, 10.7982) * CHOOSE( CONTROL!$C$15, $D$11, 100%, $F$11)</f>
        <v>10.799300000000001</v>
      </c>
      <c r="H365" s="4">
        <f>CHOOSE( CONTROL!$C$32, 11.7013, 11.7002) * CHOOSE(CONTROL!$C$15, $D$11, 100%, $F$11)</f>
        <v>11.7013</v>
      </c>
      <c r="I365" s="8">
        <f>CHOOSE( CONTROL!$C$32, 10.7467, 10.7456) * CHOOSE(CONTROL!$C$15, $D$11, 100%, $F$11)</f>
        <v>10.746700000000001</v>
      </c>
      <c r="J365" s="4">
        <f>CHOOSE( CONTROL!$C$32, 10.594, 10.593) * CHOOSE(CONTROL!$C$15, $D$11, 100%, $F$11)</f>
        <v>10.593999999999999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20.5288</v>
      </c>
      <c r="R365" s="9"/>
      <c r="S365" s="11"/>
    </row>
    <row r="366" spans="1:19" ht="15.75">
      <c r="A366" s="13">
        <v>52290</v>
      </c>
      <c r="B366" s="8">
        <f>CHOOSE( CONTROL!$C$32, 10.2195, 10.2184) * CHOOSE(CONTROL!$C$15, $D$11, 100%, $F$11)</f>
        <v>10.2195</v>
      </c>
      <c r="C366" s="8">
        <f>CHOOSE( CONTROL!$C$32, 10.2245, 10.2234) * CHOOSE(CONTROL!$C$15, $D$11, 100%, $F$11)</f>
        <v>10.224500000000001</v>
      </c>
      <c r="D366" s="8">
        <f>CHOOSE( CONTROL!$C$32, 10.2031, 10.202) * CHOOSE( CONTROL!$C$15, $D$11, 100%, $F$11)</f>
        <v>10.203099999999999</v>
      </c>
      <c r="E366" s="12">
        <f>CHOOSE( CONTROL!$C$32, 10.2104, 10.2093) * CHOOSE( CONTROL!$C$15, $D$11, 100%, $F$11)</f>
        <v>10.2104</v>
      </c>
      <c r="F366" s="4">
        <f>CHOOSE( CONTROL!$C$32, 10.8847, 10.8837) * CHOOSE(CONTROL!$C$15, $D$11, 100%, $F$11)</f>
        <v>10.8847</v>
      </c>
      <c r="G366" s="8">
        <f>CHOOSE( CONTROL!$C$32, 10.1018, 10.1007) * CHOOSE( CONTROL!$C$15, $D$11, 100%, $F$11)</f>
        <v>10.101800000000001</v>
      </c>
      <c r="H366" s="4">
        <f>CHOOSE( CONTROL!$C$32, 11.0039, 11.0028) * CHOOSE(CONTROL!$C$15, $D$11, 100%, $F$11)</f>
        <v>11.0039</v>
      </c>
      <c r="I366" s="8">
        <f>CHOOSE( CONTROL!$C$32, 10.0611, 10.0601) * CHOOSE(CONTROL!$C$15, $D$11, 100%, $F$11)</f>
        <v>10.0611</v>
      </c>
      <c r="J366" s="4">
        <f>CHOOSE( CONTROL!$C$32, 9.9092, 9.9082) * CHOOSE(CONTROL!$C$15, $D$11, 100%, $F$11)</f>
        <v>9.9092000000000002</v>
      </c>
      <c r="K366" s="4"/>
      <c r="L366" s="9">
        <v>26.469899999999999</v>
      </c>
      <c r="M366" s="9">
        <v>10.8962</v>
      </c>
      <c r="N366" s="9">
        <v>4.4660000000000002</v>
      </c>
      <c r="O366" s="9">
        <v>0.33789999999999998</v>
      </c>
      <c r="P366" s="9">
        <v>1.1676</v>
      </c>
      <c r="Q366" s="9">
        <v>18.542200000000001</v>
      </c>
      <c r="R366" s="9"/>
      <c r="S366" s="11"/>
    </row>
    <row r="367" spans="1:19" ht="15.75">
      <c r="A367" s="13">
        <v>52321</v>
      </c>
      <c r="B367" s="8">
        <f>CHOOSE( CONTROL!$C$32, 10.0021, 10.001) * CHOOSE(CONTROL!$C$15, $D$11, 100%, $F$11)</f>
        <v>10.0021</v>
      </c>
      <c r="C367" s="8">
        <f>CHOOSE( CONTROL!$C$32, 10.0072, 10.0061) * CHOOSE(CONTROL!$C$15, $D$11, 100%, $F$11)</f>
        <v>10.007199999999999</v>
      </c>
      <c r="D367" s="8">
        <f>CHOOSE( CONTROL!$C$32, 9.9851, 9.9841) * CHOOSE( CONTROL!$C$15, $D$11, 100%, $F$11)</f>
        <v>9.9850999999999992</v>
      </c>
      <c r="E367" s="12">
        <f>CHOOSE( CONTROL!$C$32, 9.9926, 9.9916) * CHOOSE( CONTROL!$C$15, $D$11, 100%, $F$11)</f>
        <v>9.9925999999999995</v>
      </c>
      <c r="F367" s="4">
        <f>CHOOSE( CONTROL!$C$32, 10.6674, 10.6663) * CHOOSE(CONTROL!$C$15, $D$11, 100%, $F$11)</f>
        <v>10.667400000000001</v>
      </c>
      <c r="G367" s="8">
        <f>CHOOSE( CONTROL!$C$32, 9.8866, 9.8855) * CHOOSE( CONTROL!$C$15, $D$11, 100%, $F$11)</f>
        <v>9.8865999999999996</v>
      </c>
      <c r="H367" s="4">
        <f>CHOOSE( CONTROL!$C$32, 10.7891, 10.7881) * CHOOSE(CONTROL!$C$15, $D$11, 100%, $F$11)</f>
        <v>10.789099999999999</v>
      </c>
      <c r="I367" s="8">
        <f>CHOOSE( CONTROL!$C$32, 9.8481, 9.847) * CHOOSE(CONTROL!$C$15, $D$11, 100%, $F$11)</f>
        <v>9.8481000000000005</v>
      </c>
      <c r="J367" s="4">
        <f>CHOOSE( CONTROL!$C$32, 9.6983, 9.6973) * CHOOSE(CONTROL!$C$15, $D$11, 100%, $F$11)</f>
        <v>9.6982999999999997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20.5288</v>
      </c>
      <c r="R367" s="9"/>
      <c r="S367" s="11"/>
    </row>
    <row r="368" spans="1:19" ht="15.75">
      <c r="A368" s="13">
        <v>52351</v>
      </c>
      <c r="B368" s="8">
        <f>CHOOSE( CONTROL!$C$32, 10.1548, 10.1537) * CHOOSE(CONTROL!$C$15, $D$11, 100%, $F$11)</f>
        <v>10.1548</v>
      </c>
      <c r="C368" s="8">
        <f>CHOOSE( CONTROL!$C$32, 10.1593, 10.1582) * CHOOSE(CONTROL!$C$15, $D$11, 100%, $F$11)</f>
        <v>10.1593</v>
      </c>
      <c r="D368" s="8">
        <f>CHOOSE( CONTROL!$C$32, 10.1621, 10.161) * CHOOSE( CONTROL!$C$15, $D$11, 100%, $F$11)</f>
        <v>10.162100000000001</v>
      </c>
      <c r="E368" s="12">
        <f>CHOOSE( CONTROL!$C$32, 10.1607, 10.1596) * CHOOSE( CONTROL!$C$15, $D$11, 100%, $F$11)</f>
        <v>10.1607</v>
      </c>
      <c r="F368" s="4">
        <f>CHOOSE( CONTROL!$C$32, 10.8631, 10.862) * CHOOSE(CONTROL!$C$15, $D$11, 100%, $F$11)</f>
        <v>10.863099999999999</v>
      </c>
      <c r="G368" s="8">
        <f>CHOOSE( CONTROL!$C$32, 10.0471, 10.0461) * CHOOSE( CONTROL!$C$15, $D$11, 100%, $F$11)</f>
        <v>10.0471</v>
      </c>
      <c r="H368" s="4">
        <f>CHOOSE( CONTROL!$C$32, 10.9825, 10.9814) * CHOOSE(CONTROL!$C$15, $D$11, 100%, $F$11)</f>
        <v>10.9825</v>
      </c>
      <c r="I368" s="8">
        <f>CHOOSE( CONTROL!$C$32, 9.9678, 9.9668) * CHOOSE(CONTROL!$C$15, $D$11, 100%, $F$11)</f>
        <v>9.9678000000000004</v>
      </c>
      <c r="J368" s="4">
        <f>CHOOSE( CONTROL!$C$32, 9.8457, 9.8446) * CHOOSE(CONTROL!$C$15, $D$11, 100%, $F$11)</f>
        <v>9.8457000000000008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1.2509999999999999</v>
      </c>
      <c r="Q368" s="9">
        <v>19.866599999999998</v>
      </c>
      <c r="R368" s="9"/>
      <c r="S368" s="11"/>
    </row>
    <row r="369" spans="1:19" ht="15.75">
      <c r="A369" s="13">
        <v>52382</v>
      </c>
      <c r="B369" s="8">
        <f>CHOOSE( CONTROL!$C$32, 10.427, 10.4253) * CHOOSE(CONTROL!$C$15, $D$11, 100%, $F$11)</f>
        <v>10.427</v>
      </c>
      <c r="C369" s="8">
        <f>CHOOSE( CONTROL!$C$32, 10.435, 10.4333) * CHOOSE(CONTROL!$C$15, $D$11, 100%, $F$11)</f>
        <v>10.435</v>
      </c>
      <c r="D369" s="8">
        <f>CHOOSE( CONTROL!$C$32, 10.4317, 10.43) * CHOOSE( CONTROL!$C$15, $D$11, 100%, $F$11)</f>
        <v>10.431699999999999</v>
      </c>
      <c r="E369" s="12">
        <f>CHOOSE( CONTROL!$C$32, 10.4317, 10.43) * CHOOSE( CONTROL!$C$15, $D$11, 100%, $F$11)</f>
        <v>10.431699999999999</v>
      </c>
      <c r="F369" s="4">
        <f>CHOOSE( CONTROL!$C$32, 11.1339, 11.1323) * CHOOSE(CONTROL!$C$15, $D$11, 100%, $F$11)</f>
        <v>11.133900000000001</v>
      </c>
      <c r="G369" s="8">
        <f>CHOOSE( CONTROL!$C$32, 10.3147, 10.313) * CHOOSE( CONTROL!$C$15, $D$11, 100%, $F$11)</f>
        <v>10.3147</v>
      </c>
      <c r="H369" s="4">
        <f>CHOOSE( CONTROL!$C$32, 11.2502, 11.2485) * CHOOSE(CONTROL!$C$15, $D$11, 100%, $F$11)</f>
        <v>11.2502</v>
      </c>
      <c r="I369" s="8">
        <f>CHOOSE( CONTROL!$C$32, 10.2301, 10.2285) * CHOOSE(CONTROL!$C$15, $D$11, 100%, $F$11)</f>
        <v>10.2301</v>
      </c>
      <c r="J369" s="4">
        <f>CHOOSE( CONTROL!$C$32, 10.1086, 10.107) * CHOOSE(CONTROL!$C$15, $D$11, 100%, $F$11)</f>
        <v>10.108599999999999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1.2927</v>
      </c>
      <c r="Q369" s="9">
        <v>20.5288</v>
      </c>
      <c r="R369" s="9"/>
      <c r="S369" s="11"/>
    </row>
    <row r="370" spans="1:19" ht="15.75">
      <c r="A370" s="13">
        <v>52412</v>
      </c>
      <c r="B370" s="8">
        <f>CHOOSE( CONTROL!$C$32, 10.2595, 10.2579) * CHOOSE(CONTROL!$C$15, $D$11, 100%, $F$11)</f>
        <v>10.259499999999999</v>
      </c>
      <c r="C370" s="8">
        <f>CHOOSE( CONTROL!$C$32, 10.2675, 10.2659) * CHOOSE(CONTROL!$C$15, $D$11, 100%, $F$11)</f>
        <v>10.2675</v>
      </c>
      <c r="D370" s="8">
        <f>CHOOSE( CONTROL!$C$32, 10.2645, 10.2628) * CHOOSE( CONTROL!$C$15, $D$11, 100%, $F$11)</f>
        <v>10.2645</v>
      </c>
      <c r="E370" s="12">
        <f>CHOOSE( CONTROL!$C$32, 10.2644, 10.2627) * CHOOSE( CONTROL!$C$15, $D$11, 100%, $F$11)</f>
        <v>10.2644</v>
      </c>
      <c r="F370" s="4">
        <f>CHOOSE( CONTROL!$C$32, 10.9665, 10.9648) * CHOOSE(CONTROL!$C$15, $D$11, 100%, $F$11)</f>
        <v>10.9665</v>
      </c>
      <c r="G370" s="8">
        <f>CHOOSE( CONTROL!$C$32, 10.1494, 10.1477) * CHOOSE( CONTROL!$C$15, $D$11, 100%, $F$11)</f>
        <v>10.1494</v>
      </c>
      <c r="H370" s="4">
        <f>CHOOSE( CONTROL!$C$32, 11.0847, 11.0831) * CHOOSE(CONTROL!$C$15, $D$11, 100%, $F$11)</f>
        <v>11.0847</v>
      </c>
      <c r="I370" s="8">
        <f>CHOOSE( CONTROL!$C$32, 10.0683, 10.0667) * CHOOSE(CONTROL!$C$15, $D$11, 100%, $F$11)</f>
        <v>10.068300000000001</v>
      </c>
      <c r="J370" s="4">
        <f>CHOOSE( CONTROL!$C$32, 9.9461, 9.9445) * CHOOSE(CONTROL!$C$15, $D$11, 100%, $F$11)</f>
        <v>9.9460999999999995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1.2509999999999999</v>
      </c>
      <c r="Q370" s="9">
        <v>19.866599999999998</v>
      </c>
      <c r="R370" s="9"/>
      <c r="S370" s="11"/>
    </row>
    <row r="371" spans="1:19" ht="15.75">
      <c r="A371" s="13">
        <v>52443</v>
      </c>
      <c r="B371" s="8">
        <f>CHOOSE( CONTROL!$C$32, 10.7005, 10.6988) * CHOOSE(CONTROL!$C$15, $D$11, 100%, $F$11)</f>
        <v>10.7005</v>
      </c>
      <c r="C371" s="8">
        <f>CHOOSE( CONTROL!$C$32, 10.7084, 10.7068) * CHOOSE(CONTROL!$C$15, $D$11, 100%, $F$11)</f>
        <v>10.708399999999999</v>
      </c>
      <c r="D371" s="8">
        <f>CHOOSE( CONTROL!$C$32, 10.7057, 10.704) * CHOOSE( CONTROL!$C$15, $D$11, 100%, $F$11)</f>
        <v>10.7057</v>
      </c>
      <c r="E371" s="12">
        <f>CHOOSE( CONTROL!$C$32, 10.7055, 10.7038) * CHOOSE( CONTROL!$C$15, $D$11, 100%, $F$11)</f>
        <v>10.705500000000001</v>
      </c>
      <c r="F371" s="4">
        <f>CHOOSE( CONTROL!$C$32, 11.4074, 11.4058) * CHOOSE(CONTROL!$C$15, $D$11, 100%, $F$11)</f>
        <v>11.407400000000001</v>
      </c>
      <c r="G371" s="8">
        <f>CHOOSE( CONTROL!$C$32, 10.5853, 10.5837) * CHOOSE( CONTROL!$C$15, $D$11, 100%, $F$11)</f>
        <v>10.5853</v>
      </c>
      <c r="H371" s="4">
        <f>CHOOSE( CONTROL!$C$32, 11.5205, 11.5188) * CHOOSE(CONTROL!$C$15, $D$11, 100%, $F$11)</f>
        <v>11.5205</v>
      </c>
      <c r="I371" s="8">
        <f>CHOOSE( CONTROL!$C$32, 10.4973, 10.4957) * CHOOSE(CONTROL!$C$15, $D$11, 100%, $F$11)</f>
        <v>10.497299999999999</v>
      </c>
      <c r="J371" s="4">
        <f>CHOOSE( CONTROL!$C$32, 10.374, 10.3724) * CHOOSE(CONTROL!$C$15, $D$11, 100%, $F$11)</f>
        <v>10.374000000000001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1.2927</v>
      </c>
      <c r="Q371" s="9">
        <v>20.5288</v>
      </c>
      <c r="R371" s="9"/>
      <c r="S371" s="11"/>
    </row>
    <row r="372" spans="1:19" ht="15.75">
      <c r="A372" s="13">
        <v>52474</v>
      </c>
      <c r="B372" s="8">
        <f>CHOOSE( CONTROL!$C$32, 9.8755, 9.8738) * CHOOSE(CONTROL!$C$15, $D$11, 100%, $F$11)</f>
        <v>9.8755000000000006</v>
      </c>
      <c r="C372" s="8">
        <f>CHOOSE( CONTROL!$C$32, 9.8834, 9.8818) * CHOOSE(CONTROL!$C$15, $D$11, 100%, $F$11)</f>
        <v>9.8834</v>
      </c>
      <c r="D372" s="8">
        <f>CHOOSE( CONTROL!$C$32, 9.8807, 9.8791) * CHOOSE( CONTROL!$C$15, $D$11, 100%, $F$11)</f>
        <v>9.8806999999999992</v>
      </c>
      <c r="E372" s="12">
        <f>CHOOSE( CONTROL!$C$32, 9.8805, 9.8789) * CHOOSE( CONTROL!$C$15, $D$11, 100%, $F$11)</f>
        <v>9.8804999999999996</v>
      </c>
      <c r="F372" s="4">
        <f>CHOOSE( CONTROL!$C$32, 10.5824, 10.5807) * CHOOSE(CONTROL!$C$15, $D$11, 100%, $F$11)</f>
        <v>10.5824</v>
      </c>
      <c r="G372" s="8">
        <f>CHOOSE( CONTROL!$C$32, 9.7701, 9.7684) * CHOOSE( CONTROL!$C$15, $D$11, 100%, $F$11)</f>
        <v>9.7700999999999993</v>
      </c>
      <c r="H372" s="4">
        <f>CHOOSE( CONTROL!$C$32, 10.7051, 10.7035) * CHOOSE(CONTROL!$C$15, $D$11, 100%, $F$11)</f>
        <v>10.7051</v>
      </c>
      <c r="I372" s="8">
        <f>CHOOSE( CONTROL!$C$32, 9.6965, 9.6949) * CHOOSE(CONTROL!$C$15, $D$11, 100%, $F$11)</f>
        <v>9.6965000000000003</v>
      </c>
      <c r="J372" s="4">
        <f>CHOOSE( CONTROL!$C$32, 9.5733, 9.5717) * CHOOSE(CONTROL!$C$15, $D$11, 100%, $F$11)</f>
        <v>9.5732999999999997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1.2927</v>
      </c>
      <c r="Q372" s="9">
        <v>20.5288</v>
      </c>
      <c r="R372" s="9"/>
      <c r="S372" s="11"/>
    </row>
    <row r="373" spans="1:19" ht="15.75">
      <c r="A373" s="13">
        <v>52504</v>
      </c>
      <c r="B373" s="8">
        <f>CHOOSE( CONTROL!$C$32, 9.6689, 9.6672) * CHOOSE(CONTROL!$C$15, $D$11, 100%, $F$11)</f>
        <v>9.6689000000000007</v>
      </c>
      <c r="C373" s="8">
        <f>CHOOSE( CONTROL!$C$32, 9.6768, 9.6752) * CHOOSE(CONTROL!$C$15, $D$11, 100%, $F$11)</f>
        <v>9.6768000000000001</v>
      </c>
      <c r="D373" s="8">
        <f>CHOOSE( CONTROL!$C$32, 9.6741, 9.6724) * CHOOSE( CONTROL!$C$15, $D$11, 100%, $F$11)</f>
        <v>9.6740999999999993</v>
      </c>
      <c r="E373" s="12">
        <f>CHOOSE( CONTROL!$C$32, 9.6739, 9.6722) * CHOOSE( CONTROL!$C$15, $D$11, 100%, $F$11)</f>
        <v>9.6738999999999997</v>
      </c>
      <c r="F373" s="4">
        <f>CHOOSE( CONTROL!$C$32, 10.3758, 10.3742) * CHOOSE(CONTROL!$C$15, $D$11, 100%, $F$11)</f>
        <v>10.3758</v>
      </c>
      <c r="G373" s="8">
        <f>CHOOSE( CONTROL!$C$32, 9.5659, 9.5642) * CHOOSE( CONTROL!$C$15, $D$11, 100%, $F$11)</f>
        <v>9.5658999999999992</v>
      </c>
      <c r="H373" s="4">
        <f>CHOOSE( CONTROL!$C$32, 10.5009, 10.4993) * CHOOSE(CONTROL!$C$15, $D$11, 100%, $F$11)</f>
        <v>10.5009</v>
      </c>
      <c r="I373" s="8">
        <f>CHOOSE( CONTROL!$C$32, 9.4958, 9.4942) * CHOOSE(CONTROL!$C$15, $D$11, 100%, $F$11)</f>
        <v>9.4957999999999991</v>
      </c>
      <c r="J373" s="4">
        <f>CHOOSE( CONTROL!$C$32, 9.3728, 9.3712) * CHOOSE(CONTROL!$C$15, $D$11, 100%, $F$11)</f>
        <v>9.3727999999999998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1.2509999999999999</v>
      </c>
      <c r="Q373" s="9">
        <v>19.866599999999998</v>
      </c>
      <c r="R373" s="9"/>
      <c r="S373" s="11"/>
    </row>
    <row r="374" spans="1:19" ht="15.75">
      <c r="A374" s="13">
        <v>52535</v>
      </c>
      <c r="B374" s="8">
        <f>CHOOSE( CONTROL!$C$32, 10.0955, 10.0944) * CHOOSE(CONTROL!$C$15, $D$11, 100%, $F$11)</f>
        <v>10.095499999999999</v>
      </c>
      <c r="C374" s="8">
        <f>CHOOSE( CONTROL!$C$32, 10.1009, 10.0998) * CHOOSE(CONTROL!$C$15, $D$11, 100%, $F$11)</f>
        <v>10.100899999999999</v>
      </c>
      <c r="D374" s="8">
        <f>CHOOSE( CONTROL!$C$32, 10.1038, 10.1027) * CHOOSE( CONTROL!$C$15, $D$11, 100%, $F$11)</f>
        <v>10.1038</v>
      </c>
      <c r="E374" s="12">
        <f>CHOOSE( CONTROL!$C$32, 10.1023, 10.1012) * CHOOSE( CONTROL!$C$15, $D$11, 100%, $F$11)</f>
        <v>10.1023</v>
      </c>
      <c r="F374" s="4">
        <f>CHOOSE( CONTROL!$C$32, 10.8042, 10.8031) * CHOOSE(CONTROL!$C$15, $D$11, 100%, $F$11)</f>
        <v>10.8042</v>
      </c>
      <c r="G374" s="8">
        <f>CHOOSE( CONTROL!$C$32, 9.9894, 9.9883) * CHOOSE( CONTROL!$C$15, $D$11, 100%, $F$11)</f>
        <v>9.9893999999999998</v>
      </c>
      <c r="H374" s="4">
        <f>CHOOSE( CONTROL!$C$32, 10.9243, 10.9232) * CHOOSE(CONTROL!$C$15, $D$11, 100%, $F$11)</f>
        <v>10.924300000000001</v>
      </c>
      <c r="I374" s="8">
        <f>CHOOSE( CONTROL!$C$32, 9.9125, 9.9115) * CHOOSE(CONTROL!$C$15, $D$11, 100%, $F$11)</f>
        <v>9.9124999999999996</v>
      </c>
      <c r="J374" s="4">
        <f>CHOOSE( CONTROL!$C$32, 9.7886, 9.7875) * CHOOSE(CONTROL!$C$15, $D$11, 100%, $F$11)</f>
        <v>9.7886000000000006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1.2927</v>
      </c>
      <c r="Q374" s="9">
        <v>20.5288</v>
      </c>
      <c r="R374" s="9"/>
      <c r="S374" s="11"/>
    </row>
    <row r="375" spans="1:19" ht="15.75">
      <c r="A375" s="13">
        <v>52565</v>
      </c>
      <c r="B375" s="8">
        <f>CHOOSE( CONTROL!$C$32, 10.8869, 10.8858) * CHOOSE(CONTROL!$C$15, $D$11, 100%, $F$11)</f>
        <v>10.886900000000001</v>
      </c>
      <c r="C375" s="8">
        <f>CHOOSE( CONTROL!$C$32, 10.892, 10.8909) * CHOOSE(CONTROL!$C$15, $D$11, 100%, $F$11)</f>
        <v>10.891999999999999</v>
      </c>
      <c r="D375" s="8">
        <f>CHOOSE( CONTROL!$C$32, 10.8741, 10.8731) * CHOOSE( CONTROL!$C$15, $D$11, 100%, $F$11)</f>
        <v>10.8741</v>
      </c>
      <c r="E375" s="12">
        <f>CHOOSE( CONTROL!$C$32, 10.8801, 10.8791) * CHOOSE( CONTROL!$C$15, $D$11, 100%, $F$11)</f>
        <v>10.880100000000001</v>
      </c>
      <c r="F375" s="4">
        <f>CHOOSE( CONTROL!$C$32, 11.5522, 11.5511) * CHOOSE(CONTROL!$C$15, $D$11, 100%, $F$11)</f>
        <v>11.552199999999999</v>
      </c>
      <c r="G375" s="8">
        <f>CHOOSE( CONTROL!$C$32, 10.771, 10.7699) * CHOOSE( CONTROL!$C$15, $D$11, 100%, $F$11)</f>
        <v>10.771000000000001</v>
      </c>
      <c r="H375" s="4">
        <f>CHOOSE( CONTROL!$C$32, 11.6635, 11.6625) * CHOOSE(CONTROL!$C$15, $D$11, 100%, $F$11)</f>
        <v>11.663500000000001</v>
      </c>
      <c r="I375" s="8">
        <f>CHOOSE( CONTROL!$C$32, 10.7431, 10.742) * CHOOSE(CONTROL!$C$15, $D$11, 100%, $F$11)</f>
        <v>10.7431</v>
      </c>
      <c r="J375" s="4">
        <f>CHOOSE( CONTROL!$C$32, 10.557, 10.5559) * CHOOSE(CONTROL!$C$15, $D$11, 100%, $F$11)</f>
        <v>10.557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19.866599999999998</v>
      </c>
      <c r="R375" s="9"/>
      <c r="S375" s="11"/>
    </row>
    <row r="376" spans="1:19" ht="15.75">
      <c r="A376" s="13">
        <v>52596</v>
      </c>
      <c r="B376" s="8">
        <f>CHOOSE( CONTROL!$C$32, 10.8671, 10.866) * CHOOSE(CONTROL!$C$15, $D$11, 100%, $F$11)</f>
        <v>10.867100000000001</v>
      </c>
      <c r="C376" s="8">
        <f>CHOOSE( CONTROL!$C$32, 10.8722, 10.8711) * CHOOSE(CONTROL!$C$15, $D$11, 100%, $F$11)</f>
        <v>10.872199999999999</v>
      </c>
      <c r="D376" s="8">
        <f>CHOOSE( CONTROL!$C$32, 10.8558, 10.8547) * CHOOSE( CONTROL!$C$15, $D$11, 100%, $F$11)</f>
        <v>10.8558</v>
      </c>
      <c r="E376" s="12">
        <f>CHOOSE( CONTROL!$C$32, 10.8613, 10.8602) * CHOOSE( CONTROL!$C$15, $D$11, 100%, $F$11)</f>
        <v>10.8613</v>
      </c>
      <c r="F376" s="4">
        <f>CHOOSE( CONTROL!$C$32, 11.5324, 11.5313) * CHOOSE(CONTROL!$C$15, $D$11, 100%, $F$11)</f>
        <v>11.532400000000001</v>
      </c>
      <c r="G376" s="8">
        <f>CHOOSE( CONTROL!$C$32, 10.7525, 10.7514) * CHOOSE( CONTROL!$C$15, $D$11, 100%, $F$11)</f>
        <v>10.7525</v>
      </c>
      <c r="H376" s="4">
        <f>CHOOSE( CONTROL!$C$32, 11.644, 11.6429) * CHOOSE(CONTROL!$C$15, $D$11, 100%, $F$11)</f>
        <v>11.644</v>
      </c>
      <c r="I376" s="8">
        <f>CHOOSE( CONTROL!$C$32, 10.7283, 10.7273) * CHOOSE(CONTROL!$C$15, $D$11, 100%, $F$11)</f>
        <v>10.728300000000001</v>
      </c>
      <c r="J376" s="4">
        <f>CHOOSE( CONTROL!$C$32, 10.5378, 10.5367) * CHOOSE(CONTROL!$C$15, $D$11, 100%, $F$11)</f>
        <v>10.537800000000001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20.5288</v>
      </c>
      <c r="R376" s="9"/>
      <c r="S376" s="11"/>
    </row>
    <row r="377" spans="1:19" ht="15.75">
      <c r="A377" s="13">
        <v>52627</v>
      </c>
      <c r="B377" s="8">
        <f>CHOOSE( CONTROL!$C$32, 11.1874, 11.1863) * CHOOSE(CONTROL!$C$15, $D$11, 100%, $F$11)</f>
        <v>11.1874</v>
      </c>
      <c r="C377" s="8">
        <f>CHOOSE( CONTROL!$C$32, 11.1924, 11.1913) * CHOOSE(CONTROL!$C$15, $D$11, 100%, $F$11)</f>
        <v>11.192399999999999</v>
      </c>
      <c r="D377" s="8">
        <f>CHOOSE( CONTROL!$C$32, 11.1711, 11.1701) * CHOOSE( CONTROL!$C$15, $D$11, 100%, $F$11)</f>
        <v>11.171099999999999</v>
      </c>
      <c r="E377" s="12">
        <f>CHOOSE( CONTROL!$C$32, 11.1784, 11.1773) * CHOOSE( CONTROL!$C$15, $D$11, 100%, $F$11)</f>
        <v>11.1784</v>
      </c>
      <c r="F377" s="4">
        <f>CHOOSE( CONTROL!$C$32, 11.8526, 11.8515) * CHOOSE(CONTROL!$C$15, $D$11, 100%, $F$11)</f>
        <v>11.852600000000001</v>
      </c>
      <c r="G377" s="8">
        <f>CHOOSE( CONTROL!$C$32, 11.0585, 11.0574) * CHOOSE( CONTROL!$C$15, $D$11, 100%, $F$11)</f>
        <v>11.0585</v>
      </c>
      <c r="H377" s="4">
        <f>CHOOSE( CONTROL!$C$32, 11.9605, 11.9594) * CHOOSE(CONTROL!$C$15, $D$11, 100%, $F$11)</f>
        <v>11.9605</v>
      </c>
      <c r="I377" s="8">
        <f>CHOOSE( CONTROL!$C$32, 11.0013, 11.0003) * CHOOSE(CONTROL!$C$15, $D$11, 100%, $F$11)</f>
        <v>11.001300000000001</v>
      </c>
      <c r="J377" s="4">
        <f>CHOOSE( CONTROL!$C$32, 10.8486, 10.8475) * CHOOSE(CONTROL!$C$15, $D$11, 100%, $F$11)</f>
        <v>10.848599999999999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20.4619</v>
      </c>
      <c r="R377" s="9"/>
      <c r="S377" s="11"/>
    </row>
    <row r="378" spans="1:19" ht="15.75">
      <c r="A378" s="13">
        <v>52655</v>
      </c>
      <c r="B378" s="8">
        <f>CHOOSE( CONTROL!$C$32, 10.4648, 10.4637) * CHOOSE(CONTROL!$C$15, $D$11, 100%, $F$11)</f>
        <v>10.4648</v>
      </c>
      <c r="C378" s="8">
        <f>CHOOSE( CONTROL!$C$32, 10.4698, 10.4688) * CHOOSE(CONTROL!$C$15, $D$11, 100%, $F$11)</f>
        <v>10.469799999999999</v>
      </c>
      <c r="D378" s="8">
        <f>CHOOSE( CONTROL!$C$32, 10.4484, 10.4473) * CHOOSE( CONTROL!$C$15, $D$11, 100%, $F$11)</f>
        <v>10.448399999999999</v>
      </c>
      <c r="E378" s="12">
        <f>CHOOSE( CONTROL!$C$32, 10.4557, 10.4546) * CHOOSE( CONTROL!$C$15, $D$11, 100%, $F$11)</f>
        <v>10.4557</v>
      </c>
      <c r="F378" s="4">
        <f>CHOOSE( CONTROL!$C$32, 11.13, 11.129) * CHOOSE(CONTROL!$C$15, $D$11, 100%, $F$11)</f>
        <v>11.13</v>
      </c>
      <c r="G378" s="8">
        <f>CHOOSE( CONTROL!$C$32, 10.3442, 10.3432) * CHOOSE( CONTROL!$C$15, $D$11, 100%, $F$11)</f>
        <v>10.344200000000001</v>
      </c>
      <c r="H378" s="4">
        <f>CHOOSE( CONTROL!$C$32, 11.2463, 11.2453) * CHOOSE(CONTROL!$C$15, $D$11, 100%, $F$11)</f>
        <v>11.2463</v>
      </c>
      <c r="I378" s="8">
        <f>CHOOSE( CONTROL!$C$32, 10.2993, 10.2983) * CHOOSE(CONTROL!$C$15, $D$11, 100%, $F$11)</f>
        <v>10.299300000000001</v>
      </c>
      <c r="J378" s="4">
        <f>CHOOSE( CONTROL!$C$32, 10.1473, 10.1462) * CHOOSE(CONTROL!$C$15, $D$11, 100%, $F$11)</f>
        <v>10.1473</v>
      </c>
      <c r="K378" s="4"/>
      <c r="L378" s="9">
        <v>27.415299999999998</v>
      </c>
      <c r="M378" s="9">
        <v>11.285299999999999</v>
      </c>
      <c r="N378" s="9">
        <v>4.6254999999999997</v>
      </c>
      <c r="O378" s="9">
        <v>0.34989999999999999</v>
      </c>
      <c r="P378" s="9">
        <v>1.2093</v>
      </c>
      <c r="Q378" s="9">
        <v>19.1417</v>
      </c>
      <c r="R378" s="9"/>
      <c r="S378" s="11"/>
    </row>
    <row r="379" spans="1:19" ht="15.75">
      <c r="A379" s="13">
        <v>52687</v>
      </c>
      <c r="B379" s="8">
        <f>CHOOSE( CONTROL!$C$32, 10.2422, 10.2411) * CHOOSE(CONTROL!$C$15, $D$11, 100%, $F$11)</f>
        <v>10.2422</v>
      </c>
      <c r="C379" s="8">
        <f>CHOOSE( CONTROL!$C$32, 10.2473, 10.2462) * CHOOSE(CONTROL!$C$15, $D$11, 100%, $F$11)</f>
        <v>10.247299999999999</v>
      </c>
      <c r="D379" s="8">
        <f>CHOOSE( CONTROL!$C$32, 10.2252, 10.2241) * CHOOSE( CONTROL!$C$15, $D$11, 100%, $F$11)</f>
        <v>10.225199999999999</v>
      </c>
      <c r="E379" s="12">
        <f>CHOOSE( CONTROL!$C$32, 10.2327, 10.2316) * CHOOSE( CONTROL!$C$15, $D$11, 100%, $F$11)</f>
        <v>10.232699999999999</v>
      </c>
      <c r="F379" s="4">
        <f>CHOOSE( CONTROL!$C$32, 10.9075, 10.9064) * CHOOSE(CONTROL!$C$15, $D$11, 100%, $F$11)</f>
        <v>10.907500000000001</v>
      </c>
      <c r="G379" s="8">
        <f>CHOOSE( CONTROL!$C$32, 10.1238, 10.1228) * CHOOSE( CONTROL!$C$15, $D$11, 100%, $F$11)</f>
        <v>10.123799999999999</v>
      </c>
      <c r="H379" s="4">
        <f>CHOOSE( CONTROL!$C$32, 11.0264, 11.0253) * CHOOSE(CONTROL!$C$15, $D$11, 100%, $F$11)</f>
        <v>11.026400000000001</v>
      </c>
      <c r="I379" s="8">
        <f>CHOOSE( CONTROL!$C$32, 10.0812, 10.0802) * CHOOSE(CONTROL!$C$15, $D$11, 100%, $F$11)</f>
        <v>10.081200000000001</v>
      </c>
      <c r="J379" s="4">
        <f>CHOOSE( CONTROL!$C$32, 9.9313, 9.9303) * CHOOSE(CONTROL!$C$15, $D$11, 100%, $F$11)</f>
        <v>9.9313000000000002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20.4619</v>
      </c>
      <c r="R379" s="9"/>
      <c r="S379" s="11"/>
    </row>
    <row r="380" spans="1:19" ht="15.75">
      <c r="A380" s="13">
        <v>52717</v>
      </c>
      <c r="B380" s="8">
        <f>CHOOSE( CONTROL!$C$32, 10.3985, 10.3974) * CHOOSE(CONTROL!$C$15, $D$11, 100%, $F$11)</f>
        <v>10.3985</v>
      </c>
      <c r="C380" s="8">
        <f>CHOOSE( CONTROL!$C$32, 10.403, 10.4019) * CHOOSE(CONTROL!$C$15, $D$11, 100%, $F$11)</f>
        <v>10.403</v>
      </c>
      <c r="D380" s="8">
        <f>CHOOSE( CONTROL!$C$32, 10.4058, 10.4048) * CHOOSE( CONTROL!$C$15, $D$11, 100%, $F$11)</f>
        <v>10.405799999999999</v>
      </c>
      <c r="E380" s="12">
        <f>CHOOSE( CONTROL!$C$32, 10.4044, 10.4033) * CHOOSE( CONTROL!$C$15, $D$11, 100%, $F$11)</f>
        <v>10.404400000000001</v>
      </c>
      <c r="F380" s="4">
        <f>CHOOSE( CONTROL!$C$32, 11.1068, 11.1057) * CHOOSE(CONTROL!$C$15, $D$11, 100%, $F$11)</f>
        <v>11.1068</v>
      </c>
      <c r="G380" s="8">
        <f>CHOOSE( CONTROL!$C$32, 10.288, 10.2869) * CHOOSE( CONTROL!$C$15, $D$11, 100%, $F$11)</f>
        <v>10.288</v>
      </c>
      <c r="H380" s="4">
        <f>CHOOSE( CONTROL!$C$32, 11.2234, 11.2223) * CHOOSE(CONTROL!$C$15, $D$11, 100%, $F$11)</f>
        <v>11.2234</v>
      </c>
      <c r="I380" s="8">
        <f>CHOOSE( CONTROL!$C$32, 10.2045, 10.2034) * CHOOSE(CONTROL!$C$15, $D$11, 100%, $F$11)</f>
        <v>10.204499999999999</v>
      </c>
      <c r="J380" s="4">
        <f>CHOOSE( CONTROL!$C$32, 10.0822, 10.0812) * CHOOSE(CONTROL!$C$15, $D$11, 100%, $F$11)</f>
        <v>10.0822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1.2509999999999999</v>
      </c>
      <c r="Q380" s="9">
        <v>19.8018</v>
      </c>
      <c r="R380" s="9"/>
      <c r="S380" s="11"/>
    </row>
    <row r="381" spans="1:19" ht="15.75">
      <c r="A381" s="13">
        <v>52748</v>
      </c>
      <c r="B381" s="8">
        <f>CHOOSE( CONTROL!$C$32, 10.6772, 10.6756) * CHOOSE(CONTROL!$C$15, $D$11, 100%, $F$11)</f>
        <v>10.677199999999999</v>
      </c>
      <c r="C381" s="8">
        <f>CHOOSE( CONTROL!$C$32, 10.6852, 10.6835) * CHOOSE(CONTROL!$C$15, $D$11, 100%, $F$11)</f>
        <v>10.6852</v>
      </c>
      <c r="D381" s="8">
        <f>CHOOSE( CONTROL!$C$32, 10.6819, 10.6803) * CHOOSE( CONTROL!$C$15, $D$11, 100%, $F$11)</f>
        <v>10.681900000000001</v>
      </c>
      <c r="E381" s="12">
        <f>CHOOSE( CONTROL!$C$32, 10.6819, 10.6803) * CHOOSE( CONTROL!$C$15, $D$11, 100%, $F$11)</f>
        <v>10.681900000000001</v>
      </c>
      <c r="F381" s="4">
        <f>CHOOSE( CONTROL!$C$32, 11.3842, 11.3825) * CHOOSE(CONTROL!$C$15, $D$11, 100%, $F$11)</f>
        <v>11.3842</v>
      </c>
      <c r="G381" s="8">
        <f>CHOOSE( CONTROL!$C$32, 10.562, 10.5603) * CHOOSE( CONTROL!$C$15, $D$11, 100%, $F$11)</f>
        <v>10.561999999999999</v>
      </c>
      <c r="H381" s="4">
        <f>CHOOSE( CONTROL!$C$32, 11.4975, 11.4958) * CHOOSE(CONTROL!$C$15, $D$11, 100%, $F$11)</f>
        <v>11.4975</v>
      </c>
      <c r="I381" s="8">
        <f>CHOOSE( CONTROL!$C$32, 10.4731, 10.4715) * CHOOSE(CONTROL!$C$15, $D$11, 100%, $F$11)</f>
        <v>10.473100000000001</v>
      </c>
      <c r="J381" s="4">
        <f>CHOOSE( CONTROL!$C$32, 10.3514, 10.3498) * CHOOSE(CONTROL!$C$15, $D$11, 100%, $F$11)</f>
        <v>10.3514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1.2927</v>
      </c>
      <c r="Q381" s="9">
        <v>20.4619</v>
      </c>
      <c r="R381" s="9"/>
      <c r="S381" s="11"/>
    </row>
    <row r="382" spans="1:19" ht="15.75">
      <c r="A382" s="13">
        <v>52778</v>
      </c>
      <c r="B382" s="8">
        <f>CHOOSE( CONTROL!$C$32, 10.5058, 10.5041) * CHOOSE(CONTROL!$C$15, $D$11, 100%, $F$11)</f>
        <v>10.505800000000001</v>
      </c>
      <c r="C382" s="8">
        <f>CHOOSE( CONTROL!$C$32, 10.5137, 10.5121) * CHOOSE(CONTROL!$C$15, $D$11, 100%, $F$11)</f>
        <v>10.5137</v>
      </c>
      <c r="D382" s="8">
        <f>CHOOSE( CONTROL!$C$32, 10.5107, 10.509) * CHOOSE( CONTROL!$C$15, $D$11, 100%, $F$11)</f>
        <v>10.5107</v>
      </c>
      <c r="E382" s="12">
        <f>CHOOSE( CONTROL!$C$32, 10.5106, 10.5089) * CHOOSE( CONTROL!$C$15, $D$11, 100%, $F$11)</f>
        <v>10.5106</v>
      </c>
      <c r="F382" s="4">
        <f>CHOOSE( CONTROL!$C$32, 11.2127, 11.211) * CHOOSE(CONTROL!$C$15, $D$11, 100%, $F$11)</f>
        <v>11.2127</v>
      </c>
      <c r="G382" s="8">
        <f>CHOOSE( CONTROL!$C$32, 10.3927, 10.3911) * CHOOSE( CONTROL!$C$15, $D$11, 100%, $F$11)</f>
        <v>10.3927</v>
      </c>
      <c r="H382" s="4">
        <f>CHOOSE( CONTROL!$C$32, 11.328, 11.3264) * CHOOSE(CONTROL!$C$15, $D$11, 100%, $F$11)</f>
        <v>11.327999999999999</v>
      </c>
      <c r="I382" s="8">
        <f>CHOOSE( CONTROL!$C$32, 10.3074, 10.3058) * CHOOSE(CONTROL!$C$15, $D$11, 100%, $F$11)</f>
        <v>10.307399999999999</v>
      </c>
      <c r="J382" s="4">
        <f>CHOOSE( CONTROL!$C$32, 10.185, 10.1834) * CHOOSE(CONTROL!$C$15, $D$11, 100%, $F$11)</f>
        <v>10.185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1.2509999999999999</v>
      </c>
      <c r="Q382" s="9">
        <v>19.8018</v>
      </c>
      <c r="R382" s="9"/>
      <c r="S382" s="11"/>
    </row>
    <row r="383" spans="1:19" ht="15.75">
      <c r="A383" s="13">
        <v>52809</v>
      </c>
      <c r="B383" s="8">
        <f>CHOOSE( CONTROL!$C$32, 10.9573, 10.9556) * CHOOSE(CONTROL!$C$15, $D$11, 100%, $F$11)</f>
        <v>10.9573</v>
      </c>
      <c r="C383" s="8">
        <f>CHOOSE( CONTROL!$C$32, 10.9652, 10.9636) * CHOOSE(CONTROL!$C$15, $D$11, 100%, $F$11)</f>
        <v>10.965199999999999</v>
      </c>
      <c r="D383" s="8">
        <f>CHOOSE( CONTROL!$C$32, 10.9624, 10.9608) * CHOOSE( CONTROL!$C$15, $D$11, 100%, $F$11)</f>
        <v>10.962400000000001</v>
      </c>
      <c r="E383" s="12">
        <f>CHOOSE( CONTROL!$C$32, 10.9622, 10.9606) * CHOOSE( CONTROL!$C$15, $D$11, 100%, $F$11)</f>
        <v>10.962199999999999</v>
      </c>
      <c r="F383" s="4">
        <f>CHOOSE( CONTROL!$C$32, 11.6642, 11.6626) * CHOOSE(CONTROL!$C$15, $D$11, 100%, $F$11)</f>
        <v>11.664199999999999</v>
      </c>
      <c r="G383" s="8">
        <f>CHOOSE( CONTROL!$C$32, 10.8391, 10.8375) * CHOOSE( CONTROL!$C$15, $D$11, 100%, $F$11)</f>
        <v>10.8391</v>
      </c>
      <c r="H383" s="4">
        <f>CHOOSE( CONTROL!$C$32, 11.7743, 11.7726) * CHOOSE(CONTROL!$C$15, $D$11, 100%, $F$11)</f>
        <v>11.7743</v>
      </c>
      <c r="I383" s="8">
        <f>CHOOSE( CONTROL!$C$32, 10.7466, 10.745) * CHOOSE(CONTROL!$C$15, $D$11, 100%, $F$11)</f>
        <v>10.746600000000001</v>
      </c>
      <c r="J383" s="4">
        <f>CHOOSE( CONTROL!$C$32, 10.6232, 10.6216) * CHOOSE(CONTROL!$C$15, $D$11, 100%, $F$11)</f>
        <v>10.623200000000001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1.2927</v>
      </c>
      <c r="Q383" s="9">
        <v>20.4619</v>
      </c>
      <c r="R383" s="9"/>
      <c r="S383" s="11"/>
    </row>
    <row r="384" spans="1:19" ht="15.75">
      <c r="A384" s="13">
        <v>52840</v>
      </c>
      <c r="B384" s="8">
        <f>CHOOSE( CONTROL!$C$32, 10.1124, 10.1108) * CHOOSE(CONTROL!$C$15, $D$11, 100%, $F$11)</f>
        <v>10.112399999999999</v>
      </c>
      <c r="C384" s="8">
        <f>CHOOSE( CONTROL!$C$32, 10.1204, 10.1188) * CHOOSE(CONTROL!$C$15, $D$11, 100%, $F$11)</f>
        <v>10.1204</v>
      </c>
      <c r="D384" s="8">
        <f>CHOOSE( CONTROL!$C$32, 10.1177, 10.1161) * CHOOSE( CONTROL!$C$15, $D$11, 100%, $F$11)</f>
        <v>10.117699999999999</v>
      </c>
      <c r="E384" s="12">
        <f>CHOOSE( CONTROL!$C$32, 10.1175, 10.1159) * CHOOSE( CONTROL!$C$15, $D$11, 100%, $F$11)</f>
        <v>10.1175</v>
      </c>
      <c r="F384" s="4">
        <f>CHOOSE( CONTROL!$C$32, 10.8194, 10.8177) * CHOOSE(CONTROL!$C$15, $D$11, 100%, $F$11)</f>
        <v>10.8194</v>
      </c>
      <c r="G384" s="8">
        <f>CHOOSE( CONTROL!$C$32, 10.0043, 10.0026) * CHOOSE( CONTROL!$C$15, $D$11, 100%, $F$11)</f>
        <v>10.004300000000001</v>
      </c>
      <c r="H384" s="4">
        <f>CHOOSE( CONTROL!$C$32, 10.9393, 10.9377) * CHOOSE(CONTROL!$C$15, $D$11, 100%, $F$11)</f>
        <v>10.939299999999999</v>
      </c>
      <c r="I384" s="8">
        <f>CHOOSE( CONTROL!$C$32, 9.9266, 9.925) * CHOOSE(CONTROL!$C$15, $D$11, 100%, $F$11)</f>
        <v>9.9266000000000005</v>
      </c>
      <c r="J384" s="4">
        <f>CHOOSE( CONTROL!$C$32, 9.8033, 9.8017) * CHOOSE(CONTROL!$C$15, $D$11, 100%, $F$11)</f>
        <v>9.8033000000000001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1.2927</v>
      </c>
      <c r="Q384" s="9">
        <v>20.4619</v>
      </c>
      <c r="R384" s="9"/>
      <c r="S384" s="11"/>
    </row>
    <row r="385" spans="1:19" ht="15.75">
      <c r="A385" s="13">
        <v>52870</v>
      </c>
      <c r="B385" s="8">
        <f>CHOOSE( CONTROL!$C$32, 9.9009, 9.8992) * CHOOSE(CONTROL!$C$15, $D$11, 100%, $F$11)</f>
        <v>9.9009</v>
      </c>
      <c r="C385" s="8">
        <f>CHOOSE( CONTROL!$C$32, 9.9089, 9.9072) * CHOOSE(CONTROL!$C$15, $D$11, 100%, $F$11)</f>
        <v>9.9088999999999992</v>
      </c>
      <c r="D385" s="8">
        <f>CHOOSE( CONTROL!$C$32, 9.9061, 9.9045) * CHOOSE( CONTROL!$C$15, $D$11, 100%, $F$11)</f>
        <v>9.9061000000000003</v>
      </c>
      <c r="E385" s="12">
        <f>CHOOSE( CONTROL!$C$32, 9.9059, 9.9043) * CHOOSE( CONTROL!$C$15, $D$11, 100%, $F$11)</f>
        <v>9.9059000000000008</v>
      </c>
      <c r="F385" s="4">
        <f>CHOOSE( CONTROL!$C$32, 10.6078, 10.6062) * CHOOSE(CONTROL!$C$15, $D$11, 100%, $F$11)</f>
        <v>10.607799999999999</v>
      </c>
      <c r="G385" s="8">
        <f>CHOOSE( CONTROL!$C$32, 9.7951, 9.7935) * CHOOSE( CONTROL!$C$15, $D$11, 100%, $F$11)</f>
        <v>9.7950999999999997</v>
      </c>
      <c r="H385" s="4">
        <f>CHOOSE( CONTROL!$C$32, 10.7302, 10.7286) * CHOOSE(CONTROL!$C$15, $D$11, 100%, $F$11)</f>
        <v>10.7302</v>
      </c>
      <c r="I385" s="8">
        <f>CHOOSE( CONTROL!$C$32, 9.721, 9.7194) * CHOOSE(CONTROL!$C$15, $D$11, 100%, $F$11)</f>
        <v>9.7210000000000001</v>
      </c>
      <c r="J385" s="4">
        <f>CHOOSE( CONTROL!$C$32, 9.598, 9.5964) * CHOOSE(CONTROL!$C$15, $D$11, 100%, $F$11)</f>
        <v>9.5980000000000008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1.2509999999999999</v>
      </c>
      <c r="Q385" s="9">
        <v>19.8018</v>
      </c>
      <c r="R385" s="9"/>
      <c r="S385" s="11"/>
    </row>
    <row r="386" spans="1:19" ht="15.75">
      <c r="A386" s="13">
        <v>52901</v>
      </c>
      <c r="B386" s="8">
        <f>CHOOSE( CONTROL!$C$32, 10.3378, 10.3368) * CHOOSE(CONTROL!$C$15, $D$11, 100%, $F$11)</f>
        <v>10.3378</v>
      </c>
      <c r="C386" s="8">
        <f>CHOOSE( CONTROL!$C$32, 10.3432, 10.3421) * CHOOSE(CONTROL!$C$15, $D$11, 100%, $F$11)</f>
        <v>10.3432</v>
      </c>
      <c r="D386" s="8">
        <f>CHOOSE( CONTROL!$C$32, 10.3461, 10.345) * CHOOSE( CONTROL!$C$15, $D$11, 100%, $F$11)</f>
        <v>10.3461</v>
      </c>
      <c r="E386" s="12">
        <f>CHOOSE( CONTROL!$C$32, 10.3446, 10.3435) * CHOOSE( CONTROL!$C$15, $D$11, 100%, $F$11)</f>
        <v>10.3446</v>
      </c>
      <c r="F386" s="4">
        <f>CHOOSE( CONTROL!$C$32, 11.0465, 11.0454) * CHOOSE(CONTROL!$C$15, $D$11, 100%, $F$11)</f>
        <v>11.0465</v>
      </c>
      <c r="G386" s="8">
        <f>CHOOSE( CONTROL!$C$32, 10.2289, 10.2278) * CHOOSE( CONTROL!$C$15, $D$11, 100%, $F$11)</f>
        <v>10.228899999999999</v>
      </c>
      <c r="H386" s="4">
        <f>CHOOSE( CONTROL!$C$32, 11.1638, 11.1627) * CHOOSE(CONTROL!$C$15, $D$11, 100%, $F$11)</f>
        <v>11.1638</v>
      </c>
      <c r="I386" s="8">
        <f>CHOOSE( CONTROL!$C$32, 10.1478, 10.1468) * CHOOSE(CONTROL!$C$15, $D$11, 100%, $F$11)</f>
        <v>10.1478</v>
      </c>
      <c r="J386" s="4">
        <f>CHOOSE( CONTROL!$C$32, 10.0237, 10.0227) * CHOOSE(CONTROL!$C$15, $D$11, 100%, $F$11)</f>
        <v>10.0237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1.2927</v>
      </c>
      <c r="Q386" s="9">
        <v>20.4619</v>
      </c>
      <c r="R386" s="9"/>
      <c r="S386" s="11"/>
    </row>
    <row r="387" spans="1:19" ht="15.75">
      <c r="A387" s="13">
        <v>52931</v>
      </c>
      <c r="B387" s="8">
        <f>CHOOSE( CONTROL!$C$32, 11.1482, 11.1471) * CHOOSE(CONTROL!$C$15, $D$11, 100%, $F$11)</f>
        <v>11.148199999999999</v>
      </c>
      <c r="C387" s="8">
        <f>CHOOSE( CONTROL!$C$32, 11.1533, 11.1522) * CHOOSE(CONTROL!$C$15, $D$11, 100%, $F$11)</f>
        <v>11.1533</v>
      </c>
      <c r="D387" s="8">
        <f>CHOOSE( CONTROL!$C$32, 11.1355, 11.1344) * CHOOSE( CONTROL!$C$15, $D$11, 100%, $F$11)</f>
        <v>11.1355</v>
      </c>
      <c r="E387" s="12">
        <f>CHOOSE( CONTROL!$C$32, 11.1415, 11.1404) * CHOOSE( CONTROL!$C$15, $D$11, 100%, $F$11)</f>
        <v>11.141500000000001</v>
      </c>
      <c r="F387" s="4">
        <f>CHOOSE( CONTROL!$C$32, 11.8135, 11.8124) * CHOOSE(CONTROL!$C$15, $D$11, 100%, $F$11)</f>
        <v>11.813499999999999</v>
      </c>
      <c r="G387" s="8">
        <f>CHOOSE( CONTROL!$C$32, 11.0292, 11.0282) * CHOOSE( CONTROL!$C$15, $D$11, 100%, $F$11)</f>
        <v>11.029199999999999</v>
      </c>
      <c r="H387" s="4">
        <f>CHOOSE( CONTROL!$C$32, 11.9218, 11.9207) * CHOOSE(CONTROL!$C$15, $D$11, 100%, $F$11)</f>
        <v>11.921799999999999</v>
      </c>
      <c r="I387" s="8">
        <f>CHOOSE( CONTROL!$C$32, 10.9968, 10.9958) * CHOOSE(CONTROL!$C$15, $D$11, 100%, $F$11)</f>
        <v>10.9968</v>
      </c>
      <c r="J387" s="4">
        <f>CHOOSE( CONTROL!$C$32, 10.8106, 10.8096) * CHOOSE(CONTROL!$C$15, $D$11, 100%, $F$11)</f>
        <v>10.810600000000001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19.8018</v>
      </c>
      <c r="R387" s="9"/>
      <c r="S387" s="11"/>
    </row>
    <row r="388" spans="1:19" ht="15.75">
      <c r="A388" s="13">
        <v>52962</v>
      </c>
      <c r="B388" s="8">
        <f>CHOOSE( CONTROL!$C$32, 11.128, 11.1269) * CHOOSE(CONTROL!$C$15, $D$11, 100%, $F$11)</f>
        <v>11.128</v>
      </c>
      <c r="C388" s="8">
        <f>CHOOSE( CONTROL!$C$32, 11.133, 11.132) * CHOOSE(CONTROL!$C$15, $D$11, 100%, $F$11)</f>
        <v>11.132999999999999</v>
      </c>
      <c r="D388" s="8">
        <f>CHOOSE( CONTROL!$C$32, 11.1167, 11.1156) * CHOOSE( CONTROL!$C$15, $D$11, 100%, $F$11)</f>
        <v>11.1167</v>
      </c>
      <c r="E388" s="12">
        <f>CHOOSE( CONTROL!$C$32, 11.1221, 11.1211) * CHOOSE( CONTROL!$C$15, $D$11, 100%, $F$11)</f>
        <v>11.1221</v>
      </c>
      <c r="F388" s="4">
        <f>CHOOSE( CONTROL!$C$32, 11.7933, 11.7922) * CHOOSE(CONTROL!$C$15, $D$11, 100%, $F$11)</f>
        <v>11.7933</v>
      </c>
      <c r="G388" s="8">
        <f>CHOOSE( CONTROL!$C$32, 11.0103, 11.0092) * CHOOSE( CONTROL!$C$15, $D$11, 100%, $F$11)</f>
        <v>11.010300000000001</v>
      </c>
      <c r="H388" s="4">
        <f>CHOOSE( CONTROL!$C$32, 11.9018, 11.9007) * CHOOSE(CONTROL!$C$15, $D$11, 100%, $F$11)</f>
        <v>11.9018</v>
      </c>
      <c r="I388" s="8">
        <f>CHOOSE( CONTROL!$C$32, 10.9816, 10.9806) * CHOOSE(CONTROL!$C$15, $D$11, 100%, $F$11)</f>
        <v>10.9816</v>
      </c>
      <c r="J388" s="4">
        <f>CHOOSE( CONTROL!$C$32, 10.7909, 10.7899) * CHOOSE(CONTROL!$C$15, $D$11, 100%, $F$11)</f>
        <v>10.790900000000001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20.4619</v>
      </c>
      <c r="R388" s="9"/>
      <c r="S388" s="11"/>
    </row>
    <row r="389" spans="1:19" ht="15.75">
      <c r="A389" s="13">
        <v>52993</v>
      </c>
      <c r="B389" s="8">
        <f>CHOOSE( CONTROL!$C$32, 11.4559, 11.4548) * CHOOSE(CONTROL!$C$15, $D$11, 100%, $F$11)</f>
        <v>11.4559</v>
      </c>
      <c r="C389" s="8">
        <f>CHOOSE( CONTROL!$C$32, 11.461, 11.4599) * CHOOSE(CONTROL!$C$15, $D$11, 100%, $F$11)</f>
        <v>11.461</v>
      </c>
      <c r="D389" s="8">
        <f>CHOOSE( CONTROL!$C$32, 11.4397, 11.4386) * CHOOSE( CONTROL!$C$15, $D$11, 100%, $F$11)</f>
        <v>11.4397</v>
      </c>
      <c r="E389" s="12">
        <f>CHOOSE( CONTROL!$C$32, 11.4469, 11.4458) * CHOOSE( CONTROL!$C$15, $D$11, 100%, $F$11)</f>
        <v>11.446899999999999</v>
      </c>
      <c r="F389" s="4">
        <f>CHOOSE( CONTROL!$C$32, 12.1212, 12.1201) * CHOOSE(CONTROL!$C$15, $D$11, 100%, $F$11)</f>
        <v>12.1212</v>
      </c>
      <c r="G389" s="8">
        <f>CHOOSE( CONTROL!$C$32, 11.3239, 11.3228) * CHOOSE( CONTROL!$C$15, $D$11, 100%, $F$11)</f>
        <v>11.3239</v>
      </c>
      <c r="H389" s="4">
        <f>CHOOSE( CONTROL!$C$32, 12.2259, 12.2248) * CHOOSE(CONTROL!$C$15, $D$11, 100%, $F$11)</f>
        <v>12.225899999999999</v>
      </c>
      <c r="I389" s="8">
        <f>CHOOSE( CONTROL!$C$32, 11.2621, 11.261) * CHOOSE(CONTROL!$C$15, $D$11, 100%, $F$11)</f>
        <v>11.2621</v>
      </c>
      <c r="J389" s="4">
        <f>CHOOSE( CONTROL!$C$32, 11.1092, 11.1082) * CHOOSE(CONTROL!$C$15, $D$11, 100%, $F$11)</f>
        <v>11.1092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20.396799999999999</v>
      </c>
      <c r="R389" s="9"/>
      <c r="S389" s="11"/>
    </row>
    <row r="390" spans="1:19" ht="15.75">
      <c r="A390" s="13">
        <v>53021</v>
      </c>
      <c r="B390" s="8">
        <f>CHOOSE( CONTROL!$C$32, 10.716, 10.7149) * CHOOSE(CONTROL!$C$15, $D$11, 100%, $F$11)</f>
        <v>10.715999999999999</v>
      </c>
      <c r="C390" s="8">
        <f>CHOOSE( CONTROL!$C$32, 10.721, 10.72) * CHOOSE(CONTROL!$C$15, $D$11, 100%, $F$11)</f>
        <v>10.721</v>
      </c>
      <c r="D390" s="8">
        <f>CHOOSE( CONTROL!$C$32, 10.6996, 10.6985) * CHOOSE( CONTROL!$C$15, $D$11, 100%, $F$11)</f>
        <v>10.6996</v>
      </c>
      <c r="E390" s="12">
        <f>CHOOSE( CONTROL!$C$32, 10.7069, 10.7058) * CHOOSE( CONTROL!$C$15, $D$11, 100%, $F$11)</f>
        <v>10.706899999999999</v>
      </c>
      <c r="F390" s="4">
        <f>CHOOSE( CONTROL!$C$32, 11.3812, 11.3802) * CHOOSE(CONTROL!$C$15, $D$11, 100%, $F$11)</f>
        <v>11.3812</v>
      </c>
      <c r="G390" s="8">
        <f>CHOOSE( CONTROL!$C$32, 10.5925, 10.5914) * CHOOSE( CONTROL!$C$15, $D$11, 100%, $F$11)</f>
        <v>10.592499999999999</v>
      </c>
      <c r="H390" s="4">
        <f>CHOOSE( CONTROL!$C$32, 11.4946, 11.4935) * CHOOSE(CONTROL!$C$15, $D$11, 100%, $F$11)</f>
        <v>11.4946</v>
      </c>
      <c r="I390" s="8">
        <f>CHOOSE( CONTROL!$C$32, 10.5432, 10.5422) * CHOOSE(CONTROL!$C$15, $D$11, 100%, $F$11)</f>
        <v>10.543200000000001</v>
      </c>
      <c r="J390" s="4">
        <f>CHOOSE( CONTROL!$C$32, 10.3911, 10.39) * CHOOSE(CONTROL!$C$15, $D$11, 100%, $F$11)</f>
        <v>10.3911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18.422899999999998</v>
      </c>
      <c r="R390" s="9"/>
      <c r="S390" s="11"/>
    </row>
    <row r="391" spans="1:19" ht="15.75">
      <c r="A391" s="13">
        <v>53052</v>
      </c>
      <c r="B391" s="8">
        <f>CHOOSE( CONTROL!$C$32, 10.4881, 10.487) * CHOOSE(CONTROL!$C$15, $D$11, 100%, $F$11)</f>
        <v>10.488099999999999</v>
      </c>
      <c r="C391" s="8">
        <f>CHOOSE( CONTROL!$C$32, 10.4931, 10.492) * CHOOSE(CONTROL!$C$15, $D$11, 100%, $F$11)</f>
        <v>10.4931</v>
      </c>
      <c r="D391" s="8">
        <f>CHOOSE( CONTROL!$C$32, 10.4711, 10.47) * CHOOSE( CONTROL!$C$15, $D$11, 100%, $F$11)</f>
        <v>10.4711</v>
      </c>
      <c r="E391" s="12">
        <f>CHOOSE( CONTROL!$C$32, 10.4786, 10.4775) * CHOOSE( CONTROL!$C$15, $D$11, 100%, $F$11)</f>
        <v>10.4786</v>
      </c>
      <c r="F391" s="4">
        <f>CHOOSE( CONTROL!$C$32, 11.1533, 11.1523) * CHOOSE(CONTROL!$C$15, $D$11, 100%, $F$11)</f>
        <v>11.1533</v>
      </c>
      <c r="G391" s="8">
        <f>CHOOSE( CONTROL!$C$32, 10.3668, 10.3657) * CHOOSE( CONTROL!$C$15, $D$11, 100%, $F$11)</f>
        <v>10.3668</v>
      </c>
      <c r="H391" s="4">
        <f>CHOOSE( CONTROL!$C$32, 11.2694, 11.2683) * CHOOSE(CONTROL!$C$15, $D$11, 100%, $F$11)</f>
        <v>11.269399999999999</v>
      </c>
      <c r="I391" s="8">
        <f>CHOOSE( CONTROL!$C$32, 10.3199, 10.3189) * CHOOSE(CONTROL!$C$15, $D$11, 100%, $F$11)</f>
        <v>10.319900000000001</v>
      </c>
      <c r="J391" s="4">
        <f>CHOOSE( CONTROL!$C$32, 10.1699, 10.1689) * CHOOSE(CONTROL!$C$15, $D$11, 100%, $F$11)</f>
        <v>10.1699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20.396799999999999</v>
      </c>
      <c r="R391" s="9"/>
      <c r="S391" s="11"/>
    </row>
    <row r="392" spans="1:19" ht="15.75">
      <c r="A392" s="13">
        <v>53082</v>
      </c>
      <c r="B392" s="8">
        <f>CHOOSE( CONTROL!$C$32, 10.6481, 10.647) * CHOOSE(CONTROL!$C$15, $D$11, 100%, $F$11)</f>
        <v>10.648099999999999</v>
      </c>
      <c r="C392" s="8">
        <f>CHOOSE( CONTROL!$C$32, 10.6526, 10.6515) * CHOOSE(CONTROL!$C$15, $D$11, 100%, $F$11)</f>
        <v>10.6526</v>
      </c>
      <c r="D392" s="8">
        <f>CHOOSE( CONTROL!$C$32, 10.6554, 10.6543) * CHOOSE( CONTROL!$C$15, $D$11, 100%, $F$11)</f>
        <v>10.6554</v>
      </c>
      <c r="E392" s="12">
        <f>CHOOSE( CONTROL!$C$32, 10.654, 10.6529) * CHOOSE( CONTROL!$C$15, $D$11, 100%, $F$11)</f>
        <v>10.654</v>
      </c>
      <c r="F392" s="4">
        <f>CHOOSE( CONTROL!$C$32, 11.3564, 11.3553) * CHOOSE(CONTROL!$C$15, $D$11, 100%, $F$11)</f>
        <v>11.356400000000001</v>
      </c>
      <c r="G392" s="8">
        <f>CHOOSE( CONTROL!$C$32, 10.5347, 10.5336) * CHOOSE( CONTROL!$C$15, $D$11, 100%, $F$11)</f>
        <v>10.534700000000001</v>
      </c>
      <c r="H392" s="4">
        <f>CHOOSE( CONTROL!$C$32, 11.47, 11.469) * CHOOSE(CONTROL!$C$15, $D$11, 100%, $F$11)</f>
        <v>11.47</v>
      </c>
      <c r="I392" s="8">
        <f>CHOOSE( CONTROL!$C$32, 10.4468, 10.4458) * CHOOSE(CONTROL!$C$15, $D$11, 100%, $F$11)</f>
        <v>10.4468</v>
      </c>
      <c r="J392" s="4">
        <f>CHOOSE( CONTROL!$C$32, 10.3245, 10.3234) * CHOOSE(CONTROL!$C$15, $D$11, 100%, $F$11)</f>
        <v>10.3245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1.2509999999999999</v>
      </c>
      <c r="Q392" s="9">
        <v>19.738800000000001</v>
      </c>
      <c r="R392" s="9"/>
      <c r="S392" s="11"/>
    </row>
    <row r="393" spans="1:19" ht="15.75">
      <c r="A393" s="13">
        <v>53113</v>
      </c>
      <c r="B393" s="8">
        <f>CHOOSE( CONTROL!$C$32, 10.9334, 10.9318) * CHOOSE(CONTROL!$C$15, $D$11, 100%, $F$11)</f>
        <v>10.933400000000001</v>
      </c>
      <c r="C393" s="8">
        <f>CHOOSE( CONTROL!$C$32, 10.9414, 10.9398) * CHOOSE(CONTROL!$C$15, $D$11, 100%, $F$11)</f>
        <v>10.9414</v>
      </c>
      <c r="D393" s="8">
        <f>CHOOSE( CONTROL!$C$32, 10.9382, 10.9365) * CHOOSE( CONTROL!$C$15, $D$11, 100%, $F$11)</f>
        <v>10.9382</v>
      </c>
      <c r="E393" s="12">
        <f>CHOOSE( CONTROL!$C$32, 10.9381, 10.9365) * CHOOSE( CONTROL!$C$15, $D$11, 100%, $F$11)</f>
        <v>10.9381</v>
      </c>
      <c r="F393" s="4">
        <f>CHOOSE( CONTROL!$C$32, 11.6404, 11.6387) * CHOOSE(CONTROL!$C$15, $D$11, 100%, $F$11)</f>
        <v>11.6404</v>
      </c>
      <c r="G393" s="8">
        <f>CHOOSE( CONTROL!$C$32, 10.8152, 10.8136) * CHOOSE( CONTROL!$C$15, $D$11, 100%, $F$11)</f>
        <v>10.815200000000001</v>
      </c>
      <c r="H393" s="4">
        <f>CHOOSE( CONTROL!$C$32, 11.7507, 11.7491) * CHOOSE(CONTROL!$C$15, $D$11, 100%, $F$11)</f>
        <v>11.7507</v>
      </c>
      <c r="I393" s="8">
        <f>CHOOSE( CONTROL!$C$32, 10.7219, 10.7203) * CHOOSE(CONTROL!$C$15, $D$11, 100%, $F$11)</f>
        <v>10.7219</v>
      </c>
      <c r="J393" s="4">
        <f>CHOOSE( CONTROL!$C$32, 10.6001, 10.5985) * CHOOSE(CONTROL!$C$15, $D$11, 100%, $F$11)</f>
        <v>10.600099999999999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1.2927</v>
      </c>
      <c r="Q393" s="9">
        <v>20.396799999999999</v>
      </c>
      <c r="R393" s="9"/>
      <c r="S393" s="11"/>
    </row>
    <row r="394" spans="1:19" ht="15.75">
      <c r="A394" s="13">
        <v>53143</v>
      </c>
      <c r="B394" s="8">
        <f>CHOOSE( CONTROL!$C$32, 10.7579, 10.7562) * CHOOSE(CONTROL!$C$15, $D$11, 100%, $F$11)</f>
        <v>10.757899999999999</v>
      </c>
      <c r="C394" s="8">
        <f>CHOOSE( CONTROL!$C$32, 10.7658, 10.7642) * CHOOSE(CONTROL!$C$15, $D$11, 100%, $F$11)</f>
        <v>10.7658</v>
      </c>
      <c r="D394" s="8">
        <f>CHOOSE( CONTROL!$C$32, 10.7628, 10.7612) * CHOOSE( CONTROL!$C$15, $D$11, 100%, $F$11)</f>
        <v>10.7628</v>
      </c>
      <c r="E394" s="12">
        <f>CHOOSE( CONTROL!$C$32, 10.7627, 10.7611) * CHOOSE( CONTROL!$C$15, $D$11, 100%, $F$11)</f>
        <v>10.762700000000001</v>
      </c>
      <c r="F394" s="4">
        <f>CHOOSE( CONTROL!$C$32, 11.4648, 11.4632) * CHOOSE(CONTROL!$C$15, $D$11, 100%, $F$11)</f>
        <v>11.4648</v>
      </c>
      <c r="G394" s="8">
        <f>CHOOSE( CONTROL!$C$32, 10.6419, 10.6402) * CHOOSE( CONTROL!$C$15, $D$11, 100%, $F$11)</f>
        <v>10.6419</v>
      </c>
      <c r="H394" s="4">
        <f>CHOOSE( CONTROL!$C$32, 11.5772, 11.5756) * CHOOSE(CONTROL!$C$15, $D$11, 100%, $F$11)</f>
        <v>11.577199999999999</v>
      </c>
      <c r="I394" s="8">
        <f>CHOOSE( CONTROL!$C$32, 10.5522, 10.5506) * CHOOSE(CONTROL!$C$15, $D$11, 100%, $F$11)</f>
        <v>10.552199999999999</v>
      </c>
      <c r="J394" s="4">
        <f>CHOOSE( CONTROL!$C$32, 10.4297, 10.4281) * CHOOSE(CONTROL!$C$15, $D$11, 100%, $F$11)</f>
        <v>10.4297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1.2509999999999999</v>
      </c>
      <c r="Q394" s="9">
        <v>19.738800000000001</v>
      </c>
      <c r="R394" s="9"/>
      <c r="S394" s="11"/>
    </row>
    <row r="395" spans="1:19" ht="15.75">
      <c r="A395" s="13">
        <v>53174</v>
      </c>
      <c r="B395" s="8">
        <f>CHOOSE( CONTROL!$C$32, 11.2202, 11.2186) * CHOOSE(CONTROL!$C$15, $D$11, 100%, $F$11)</f>
        <v>11.2202</v>
      </c>
      <c r="C395" s="8">
        <f>CHOOSE( CONTROL!$C$32, 11.2282, 11.2266) * CHOOSE(CONTROL!$C$15, $D$11, 100%, $F$11)</f>
        <v>11.228199999999999</v>
      </c>
      <c r="D395" s="8">
        <f>CHOOSE( CONTROL!$C$32, 11.2254, 11.2238) * CHOOSE( CONTROL!$C$15, $D$11, 100%, $F$11)</f>
        <v>11.2254</v>
      </c>
      <c r="E395" s="12">
        <f>CHOOSE( CONTROL!$C$32, 11.2252, 11.2236) * CHOOSE( CONTROL!$C$15, $D$11, 100%, $F$11)</f>
        <v>11.225199999999999</v>
      </c>
      <c r="F395" s="4">
        <f>CHOOSE( CONTROL!$C$32, 11.9272, 11.9255) * CHOOSE(CONTROL!$C$15, $D$11, 100%, $F$11)</f>
        <v>11.927199999999999</v>
      </c>
      <c r="G395" s="8">
        <f>CHOOSE( CONTROL!$C$32, 11.099, 11.0974) * CHOOSE( CONTROL!$C$15, $D$11, 100%, $F$11)</f>
        <v>11.099</v>
      </c>
      <c r="H395" s="4">
        <f>CHOOSE( CONTROL!$C$32, 12.0341, 12.0325) * CHOOSE(CONTROL!$C$15, $D$11, 100%, $F$11)</f>
        <v>12.0341</v>
      </c>
      <c r="I395" s="8">
        <f>CHOOSE( CONTROL!$C$32, 11.0019, 11.0003) * CHOOSE(CONTROL!$C$15, $D$11, 100%, $F$11)</f>
        <v>11.001899999999999</v>
      </c>
      <c r="J395" s="4">
        <f>CHOOSE( CONTROL!$C$32, 10.8784, 10.8768) * CHOOSE(CONTROL!$C$15, $D$11, 100%, $F$11)</f>
        <v>10.878399999999999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1.2927</v>
      </c>
      <c r="Q395" s="9">
        <v>20.396799999999999</v>
      </c>
      <c r="R395" s="9"/>
      <c r="S395" s="11"/>
    </row>
    <row r="396" spans="1:19" ht="15.75">
      <c r="A396" s="13">
        <v>53205</v>
      </c>
      <c r="B396" s="8">
        <f>CHOOSE( CONTROL!$C$32, 10.3551, 10.3534) * CHOOSE(CONTROL!$C$15, $D$11, 100%, $F$11)</f>
        <v>10.3551</v>
      </c>
      <c r="C396" s="8">
        <f>CHOOSE( CONTROL!$C$32, 10.3631, 10.3614) * CHOOSE(CONTROL!$C$15, $D$11, 100%, $F$11)</f>
        <v>10.363099999999999</v>
      </c>
      <c r="D396" s="8">
        <f>CHOOSE( CONTROL!$C$32, 10.3604, 10.3587) * CHOOSE( CONTROL!$C$15, $D$11, 100%, $F$11)</f>
        <v>10.3604</v>
      </c>
      <c r="E396" s="12">
        <f>CHOOSE( CONTROL!$C$32, 10.3602, 10.3585) * CHOOSE( CONTROL!$C$15, $D$11, 100%, $F$11)</f>
        <v>10.360200000000001</v>
      </c>
      <c r="F396" s="4">
        <f>CHOOSE( CONTROL!$C$32, 11.062, 11.0604) * CHOOSE(CONTROL!$C$15, $D$11, 100%, $F$11)</f>
        <v>11.061999999999999</v>
      </c>
      <c r="G396" s="8">
        <f>CHOOSE( CONTROL!$C$32, 10.2441, 10.2425) * CHOOSE( CONTROL!$C$15, $D$11, 100%, $F$11)</f>
        <v>10.2441</v>
      </c>
      <c r="H396" s="4">
        <f>CHOOSE( CONTROL!$C$32, 11.1791, 11.1775) * CHOOSE(CONTROL!$C$15, $D$11, 100%, $F$11)</f>
        <v>11.1791</v>
      </c>
      <c r="I396" s="8">
        <f>CHOOSE( CONTROL!$C$32, 10.1623, 10.1607) * CHOOSE(CONTROL!$C$15, $D$11, 100%, $F$11)</f>
        <v>10.1623</v>
      </c>
      <c r="J396" s="4">
        <f>CHOOSE( CONTROL!$C$32, 10.0388, 10.0372) * CHOOSE(CONTROL!$C$15, $D$11, 100%, $F$11)</f>
        <v>10.0388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1.2927</v>
      </c>
      <c r="Q396" s="9">
        <v>20.396799999999999</v>
      </c>
      <c r="R396" s="9"/>
      <c r="S396" s="11"/>
    </row>
    <row r="397" spans="1:19" ht="15.75">
      <c r="A397" s="13">
        <v>53235</v>
      </c>
      <c r="B397" s="8">
        <f>CHOOSE( CONTROL!$C$32, 10.1385, 10.1368) * CHOOSE(CONTROL!$C$15, $D$11, 100%, $F$11)</f>
        <v>10.138500000000001</v>
      </c>
      <c r="C397" s="8">
        <f>CHOOSE( CONTROL!$C$32, 10.1464, 10.1448) * CHOOSE(CONTROL!$C$15, $D$11, 100%, $F$11)</f>
        <v>10.1464</v>
      </c>
      <c r="D397" s="8">
        <f>CHOOSE( CONTROL!$C$32, 10.1437, 10.142) * CHOOSE( CONTROL!$C$15, $D$11, 100%, $F$11)</f>
        <v>10.143700000000001</v>
      </c>
      <c r="E397" s="12">
        <f>CHOOSE( CONTROL!$C$32, 10.1435, 10.1418) * CHOOSE( CONTROL!$C$15, $D$11, 100%, $F$11)</f>
        <v>10.1435</v>
      </c>
      <c r="F397" s="4">
        <f>CHOOSE( CONTROL!$C$32, 10.8454, 10.8437) * CHOOSE(CONTROL!$C$15, $D$11, 100%, $F$11)</f>
        <v>10.8454</v>
      </c>
      <c r="G397" s="8">
        <f>CHOOSE( CONTROL!$C$32, 10.03, 10.0283) * CHOOSE( CONTROL!$C$15, $D$11, 100%, $F$11)</f>
        <v>10.029999999999999</v>
      </c>
      <c r="H397" s="4">
        <f>CHOOSE( CONTROL!$C$32, 10.965, 10.9634) * CHOOSE(CONTROL!$C$15, $D$11, 100%, $F$11)</f>
        <v>10.965</v>
      </c>
      <c r="I397" s="8">
        <f>CHOOSE( CONTROL!$C$32, 9.9517, 9.9501) * CHOOSE(CONTROL!$C$15, $D$11, 100%, $F$11)</f>
        <v>9.9517000000000007</v>
      </c>
      <c r="J397" s="4">
        <f>CHOOSE( CONTROL!$C$32, 9.8286, 9.827) * CHOOSE(CONTROL!$C$15, $D$11, 100%, $F$11)</f>
        <v>9.8285999999999998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1.2509999999999999</v>
      </c>
      <c r="Q397" s="9">
        <v>19.738800000000001</v>
      </c>
      <c r="R397" s="9"/>
      <c r="S397" s="11"/>
    </row>
    <row r="398" spans="1:19" ht="15.75">
      <c r="A398" s="13">
        <v>53266</v>
      </c>
      <c r="B398" s="8">
        <f>CHOOSE( CONTROL!$C$32, 10.586, 10.5849) * CHOOSE(CONTROL!$C$15, $D$11, 100%, $F$11)</f>
        <v>10.586</v>
      </c>
      <c r="C398" s="8">
        <f>CHOOSE( CONTROL!$C$32, 10.5913, 10.5902) * CHOOSE(CONTROL!$C$15, $D$11, 100%, $F$11)</f>
        <v>10.5913</v>
      </c>
      <c r="D398" s="8">
        <f>CHOOSE( CONTROL!$C$32, 10.5942, 10.5931) * CHOOSE( CONTROL!$C$15, $D$11, 100%, $F$11)</f>
        <v>10.594200000000001</v>
      </c>
      <c r="E398" s="12">
        <f>CHOOSE( CONTROL!$C$32, 10.5927, 10.5916) * CHOOSE( CONTROL!$C$15, $D$11, 100%, $F$11)</f>
        <v>10.592700000000001</v>
      </c>
      <c r="F398" s="4">
        <f>CHOOSE( CONTROL!$C$32, 11.2946, 11.2936) * CHOOSE(CONTROL!$C$15, $D$11, 100%, $F$11)</f>
        <v>11.294600000000001</v>
      </c>
      <c r="G398" s="8">
        <f>CHOOSE( CONTROL!$C$32, 10.4741, 10.473) * CHOOSE( CONTROL!$C$15, $D$11, 100%, $F$11)</f>
        <v>10.4741</v>
      </c>
      <c r="H398" s="4">
        <f>CHOOSE( CONTROL!$C$32, 11.409, 11.408) * CHOOSE(CONTROL!$C$15, $D$11, 100%, $F$11)</f>
        <v>11.409000000000001</v>
      </c>
      <c r="I398" s="8">
        <f>CHOOSE( CONTROL!$C$32, 10.3888, 10.3877) * CHOOSE(CONTROL!$C$15, $D$11, 100%, $F$11)</f>
        <v>10.3888</v>
      </c>
      <c r="J398" s="4">
        <f>CHOOSE( CONTROL!$C$32, 10.2645, 10.2635) * CHOOSE(CONTROL!$C$15, $D$11, 100%, $F$11)</f>
        <v>10.2645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1.2927</v>
      </c>
      <c r="Q398" s="9">
        <v>20.396799999999999</v>
      </c>
      <c r="R398" s="9"/>
      <c r="S398" s="11"/>
    </row>
    <row r="399" spans="1:19" ht="15.75">
      <c r="A399" s="13">
        <v>53296</v>
      </c>
      <c r="B399" s="8">
        <f>CHOOSE( CONTROL!$C$32, 11.4158, 11.4148) * CHOOSE(CONTROL!$C$15, $D$11, 100%, $F$11)</f>
        <v>11.415800000000001</v>
      </c>
      <c r="C399" s="8">
        <f>CHOOSE( CONTROL!$C$32, 11.4209, 11.4198) * CHOOSE(CONTROL!$C$15, $D$11, 100%, $F$11)</f>
        <v>11.4209</v>
      </c>
      <c r="D399" s="8">
        <f>CHOOSE( CONTROL!$C$32, 11.4031, 11.402) * CHOOSE( CONTROL!$C$15, $D$11, 100%, $F$11)</f>
        <v>11.4031</v>
      </c>
      <c r="E399" s="12">
        <f>CHOOSE( CONTROL!$C$32, 11.4091, 11.408) * CHOOSE( CONTROL!$C$15, $D$11, 100%, $F$11)</f>
        <v>11.4091</v>
      </c>
      <c r="F399" s="4">
        <f>CHOOSE( CONTROL!$C$32, 12.0811, 12.08) * CHOOSE(CONTROL!$C$15, $D$11, 100%, $F$11)</f>
        <v>12.081099999999999</v>
      </c>
      <c r="G399" s="8">
        <f>CHOOSE( CONTROL!$C$32, 11.2937, 11.2927) * CHOOSE( CONTROL!$C$15, $D$11, 100%, $F$11)</f>
        <v>11.293699999999999</v>
      </c>
      <c r="H399" s="4">
        <f>CHOOSE( CONTROL!$C$32, 12.1863, 12.1852) * CHOOSE(CONTROL!$C$15, $D$11, 100%, $F$11)</f>
        <v>12.186299999999999</v>
      </c>
      <c r="I399" s="8">
        <f>CHOOSE( CONTROL!$C$32, 11.2567, 11.2556) * CHOOSE(CONTROL!$C$15, $D$11, 100%, $F$11)</f>
        <v>11.2567</v>
      </c>
      <c r="J399" s="4">
        <f>CHOOSE( CONTROL!$C$32, 11.0703, 11.0693) * CHOOSE(CONTROL!$C$15, $D$11, 100%, $F$11)</f>
        <v>11.0703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19.738800000000001</v>
      </c>
      <c r="R399" s="9"/>
      <c r="S399" s="11"/>
    </row>
    <row r="400" spans="1:19" ht="15.75">
      <c r="A400" s="13">
        <v>53327</v>
      </c>
      <c r="B400" s="8">
        <f>CHOOSE( CONTROL!$C$32, 11.3951, 11.394) * CHOOSE(CONTROL!$C$15, $D$11, 100%, $F$11)</f>
        <v>11.395099999999999</v>
      </c>
      <c r="C400" s="8">
        <f>CHOOSE( CONTROL!$C$32, 11.4002, 11.3991) * CHOOSE(CONTROL!$C$15, $D$11, 100%, $F$11)</f>
        <v>11.4002</v>
      </c>
      <c r="D400" s="8">
        <f>CHOOSE( CONTROL!$C$32, 11.3838, 11.3827) * CHOOSE( CONTROL!$C$15, $D$11, 100%, $F$11)</f>
        <v>11.383800000000001</v>
      </c>
      <c r="E400" s="12">
        <f>CHOOSE( CONTROL!$C$32, 11.3893, 11.3882) * CHOOSE( CONTROL!$C$15, $D$11, 100%, $F$11)</f>
        <v>11.3893</v>
      </c>
      <c r="F400" s="4">
        <f>CHOOSE( CONTROL!$C$32, 12.0604, 12.0593) * CHOOSE(CONTROL!$C$15, $D$11, 100%, $F$11)</f>
        <v>12.0604</v>
      </c>
      <c r="G400" s="8">
        <f>CHOOSE( CONTROL!$C$32, 11.2743, 11.2732) * CHOOSE( CONTROL!$C$15, $D$11, 100%, $F$11)</f>
        <v>11.2743</v>
      </c>
      <c r="H400" s="4">
        <f>CHOOSE( CONTROL!$C$32, 12.1658, 12.1647) * CHOOSE(CONTROL!$C$15, $D$11, 100%, $F$11)</f>
        <v>12.165800000000001</v>
      </c>
      <c r="I400" s="8">
        <f>CHOOSE( CONTROL!$C$32, 11.241, 11.24) * CHOOSE(CONTROL!$C$15, $D$11, 100%, $F$11)</f>
        <v>11.241</v>
      </c>
      <c r="J400" s="4">
        <f>CHOOSE( CONTROL!$C$32, 11.0502, 11.0491) * CHOOSE(CONTROL!$C$15, $D$11, 100%, $F$11)</f>
        <v>11.0502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20.396799999999999</v>
      </c>
      <c r="R400" s="9"/>
      <c r="S400" s="11"/>
    </row>
    <row r="401" spans="1:19" ht="15.75">
      <c r="A401" s="13">
        <v>53358</v>
      </c>
      <c r="B401" s="8">
        <f>CHOOSE( CONTROL!$C$32, 11.7309, 11.7298) * CHOOSE(CONTROL!$C$15, $D$11, 100%, $F$11)</f>
        <v>11.7309</v>
      </c>
      <c r="C401" s="8">
        <f>CHOOSE( CONTROL!$C$32, 11.736, 11.7349) * CHOOSE(CONTROL!$C$15, $D$11, 100%, $F$11)</f>
        <v>11.736000000000001</v>
      </c>
      <c r="D401" s="8">
        <f>CHOOSE( CONTROL!$C$32, 11.7147, 11.7136) * CHOOSE( CONTROL!$C$15, $D$11, 100%, $F$11)</f>
        <v>11.714700000000001</v>
      </c>
      <c r="E401" s="12">
        <f>CHOOSE( CONTROL!$C$32, 11.7219, 11.7208) * CHOOSE( CONTROL!$C$15, $D$11, 100%, $F$11)</f>
        <v>11.7219</v>
      </c>
      <c r="F401" s="4">
        <f>CHOOSE( CONTROL!$C$32, 12.3962, 12.3951) * CHOOSE(CONTROL!$C$15, $D$11, 100%, $F$11)</f>
        <v>12.3962</v>
      </c>
      <c r="G401" s="8">
        <f>CHOOSE( CONTROL!$C$32, 11.5957, 11.5946) * CHOOSE( CONTROL!$C$15, $D$11, 100%, $F$11)</f>
        <v>11.595700000000001</v>
      </c>
      <c r="H401" s="4">
        <f>CHOOSE( CONTROL!$C$32, 12.4977, 12.4966) * CHOOSE(CONTROL!$C$15, $D$11, 100%, $F$11)</f>
        <v>12.4977</v>
      </c>
      <c r="I401" s="8">
        <f>CHOOSE( CONTROL!$C$32, 11.5291, 11.5281) * CHOOSE(CONTROL!$C$15, $D$11, 100%, $F$11)</f>
        <v>11.5291</v>
      </c>
      <c r="J401" s="4">
        <f>CHOOSE( CONTROL!$C$32, 11.3761, 11.3751) * CHOOSE(CONTROL!$C$15, $D$11, 100%, $F$11)</f>
        <v>11.376099999999999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20.331700000000001</v>
      </c>
      <c r="R401" s="9"/>
      <c r="S401" s="11"/>
    </row>
    <row r="402" spans="1:19" ht="15.75">
      <c r="A402" s="13">
        <v>53386</v>
      </c>
      <c r="B402" s="8">
        <f>CHOOSE( CONTROL!$C$32, 10.9732, 10.9721) * CHOOSE(CONTROL!$C$15, $D$11, 100%, $F$11)</f>
        <v>10.9732</v>
      </c>
      <c r="C402" s="8">
        <f>CHOOSE( CONTROL!$C$32, 10.9783, 10.9772) * CHOOSE(CONTROL!$C$15, $D$11, 100%, $F$11)</f>
        <v>10.978300000000001</v>
      </c>
      <c r="D402" s="8">
        <f>CHOOSE( CONTROL!$C$32, 10.9569, 10.9558) * CHOOSE( CONTROL!$C$15, $D$11, 100%, $F$11)</f>
        <v>10.956899999999999</v>
      </c>
      <c r="E402" s="12">
        <f>CHOOSE( CONTROL!$C$32, 10.9642, 10.9631) * CHOOSE( CONTROL!$C$15, $D$11, 100%, $F$11)</f>
        <v>10.9642</v>
      </c>
      <c r="F402" s="4">
        <f>CHOOSE( CONTROL!$C$32, 11.6385, 11.6374) * CHOOSE(CONTROL!$C$15, $D$11, 100%, $F$11)</f>
        <v>11.638500000000001</v>
      </c>
      <c r="G402" s="8">
        <f>CHOOSE( CONTROL!$C$32, 10.8467, 10.8456) * CHOOSE( CONTROL!$C$15, $D$11, 100%, $F$11)</f>
        <v>10.8467</v>
      </c>
      <c r="H402" s="4">
        <f>CHOOSE( CONTROL!$C$32, 11.7488, 11.7478) * CHOOSE(CONTROL!$C$15, $D$11, 100%, $F$11)</f>
        <v>11.748799999999999</v>
      </c>
      <c r="I402" s="8">
        <f>CHOOSE( CONTROL!$C$32, 10.793, 10.7919) * CHOOSE(CONTROL!$C$15, $D$11, 100%, $F$11)</f>
        <v>10.792999999999999</v>
      </c>
      <c r="J402" s="4">
        <f>CHOOSE( CONTROL!$C$32, 10.6407, 10.6397) * CHOOSE(CONTROL!$C$15, $D$11, 100%, $F$11)</f>
        <v>10.640700000000001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18.364100000000001</v>
      </c>
      <c r="R402" s="9"/>
      <c r="S402" s="11"/>
    </row>
    <row r="403" spans="1:19" ht="15.75">
      <c r="A403" s="13">
        <v>53417</v>
      </c>
      <c r="B403" s="8">
        <f>CHOOSE( CONTROL!$C$32, 10.7398, 10.7387) * CHOOSE(CONTROL!$C$15, $D$11, 100%, $F$11)</f>
        <v>10.739800000000001</v>
      </c>
      <c r="C403" s="8">
        <f>CHOOSE( CONTROL!$C$32, 10.7449, 10.7438) * CHOOSE(CONTROL!$C$15, $D$11, 100%, $F$11)</f>
        <v>10.744899999999999</v>
      </c>
      <c r="D403" s="8">
        <f>CHOOSE( CONTROL!$C$32, 10.7228, 10.7218) * CHOOSE( CONTROL!$C$15, $D$11, 100%, $F$11)</f>
        <v>10.722799999999999</v>
      </c>
      <c r="E403" s="12">
        <f>CHOOSE( CONTROL!$C$32, 10.7303, 10.7293) * CHOOSE( CONTROL!$C$15, $D$11, 100%, $F$11)</f>
        <v>10.7303</v>
      </c>
      <c r="F403" s="4">
        <f>CHOOSE( CONTROL!$C$32, 11.4051, 11.404) * CHOOSE(CONTROL!$C$15, $D$11, 100%, $F$11)</f>
        <v>11.405099999999999</v>
      </c>
      <c r="G403" s="8">
        <f>CHOOSE( CONTROL!$C$32, 10.6156, 10.6145) * CHOOSE( CONTROL!$C$15, $D$11, 100%, $F$11)</f>
        <v>10.615600000000001</v>
      </c>
      <c r="H403" s="4">
        <f>CHOOSE( CONTROL!$C$32, 11.5182, 11.5171) * CHOOSE(CONTROL!$C$15, $D$11, 100%, $F$11)</f>
        <v>11.5182</v>
      </c>
      <c r="I403" s="8">
        <f>CHOOSE( CONTROL!$C$32, 10.5644, 10.5633) * CHOOSE(CONTROL!$C$15, $D$11, 100%, $F$11)</f>
        <v>10.564399999999999</v>
      </c>
      <c r="J403" s="4">
        <f>CHOOSE( CONTROL!$C$32, 10.4142, 10.4132) * CHOOSE(CONTROL!$C$15, $D$11, 100%, $F$11)</f>
        <v>10.414199999999999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20.331700000000001</v>
      </c>
      <c r="R403" s="9"/>
      <c r="S403" s="11"/>
    </row>
    <row r="404" spans="1:19" ht="15.75">
      <c r="A404" s="13">
        <v>53447</v>
      </c>
      <c r="B404" s="8">
        <f>CHOOSE( CONTROL!$C$32, 10.9037, 10.9026) * CHOOSE(CONTROL!$C$15, $D$11, 100%, $F$11)</f>
        <v>10.903700000000001</v>
      </c>
      <c r="C404" s="8">
        <f>CHOOSE( CONTROL!$C$32, 10.9082, 10.9071) * CHOOSE(CONTROL!$C$15, $D$11, 100%, $F$11)</f>
        <v>10.908200000000001</v>
      </c>
      <c r="D404" s="8">
        <f>CHOOSE( CONTROL!$C$32, 10.911, 10.9099) * CHOOSE( CONTROL!$C$15, $D$11, 100%, $F$11)</f>
        <v>10.911</v>
      </c>
      <c r="E404" s="12">
        <f>CHOOSE( CONTROL!$C$32, 10.9096, 10.9085) * CHOOSE( CONTROL!$C$15, $D$11, 100%, $F$11)</f>
        <v>10.909599999999999</v>
      </c>
      <c r="F404" s="4">
        <f>CHOOSE( CONTROL!$C$32, 11.612, 11.6109) * CHOOSE(CONTROL!$C$15, $D$11, 100%, $F$11)</f>
        <v>11.612</v>
      </c>
      <c r="G404" s="8">
        <f>CHOOSE( CONTROL!$C$32, 10.7873, 10.7862) * CHOOSE( CONTROL!$C$15, $D$11, 100%, $F$11)</f>
        <v>10.7873</v>
      </c>
      <c r="H404" s="4">
        <f>CHOOSE( CONTROL!$C$32, 11.7226, 11.7216) * CHOOSE(CONTROL!$C$15, $D$11, 100%, $F$11)</f>
        <v>11.7226</v>
      </c>
      <c r="I404" s="8">
        <f>CHOOSE( CONTROL!$C$32, 10.695, 10.6939) * CHOOSE(CONTROL!$C$15, $D$11, 100%, $F$11)</f>
        <v>10.695</v>
      </c>
      <c r="J404" s="4">
        <f>CHOOSE( CONTROL!$C$32, 10.5725, 10.5715) * CHOOSE(CONTROL!$C$15, $D$11, 100%, $F$11)</f>
        <v>10.5725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1.2509999999999999</v>
      </c>
      <c r="Q404" s="9">
        <v>19.675799999999999</v>
      </c>
      <c r="R404" s="9"/>
      <c r="S404" s="11"/>
    </row>
    <row r="405" spans="1:19" ht="15.75">
      <c r="A405" s="13">
        <v>53478</v>
      </c>
      <c r="B405" s="8">
        <f>CHOOSE( CONTROL!$C$32, 11.1958, 11.1942) * CHOOSE(CONTROL!$C$15, $D$11, 100%, $F$11)</f>
        <v>11.1958</v>
      </c>
      <c r="C405" s="8">
        <f>CHOOSE( CONTROL!$C$32, 11.2038, 11.2022) * CHOOSE(CONTROL!$C$15, $D$11, 100%, $F$11)</f>
        <v>11.203799999999999</v>
      </c>
      <c r="D405" s="8">
        <f>CHOOSE( CONTROL!$C$32, 11.2006, 11.1989) * CHOOSE( CONTROL!$C$15, $D$11, 100%, $F$11)</f>
        <v>11.2006</v>
      </c>
      <c r="E405" s="12">
        <f>CHOOSE( CONTROL!$C$32, 11.2005, 11.1989) * CHOOSE( CONTROL!$C$15, $D$11, 100%, $F$11)</f>
        <v>11.2005</v>
      </c>
      <c r="F405" s="4">
        <f>CHOOSE( CONTROL!$C$32, 11.9028, 11.9011) * CHOOSE(CONTROL!$C$15, $D$11, 100%, $F$11)</f>
        <v>11.902799999999999</v>
      </c>
      <c r="G405" s="8">
        <f>CHOOSE( CONTROL!$C$32, 11.0745, 11.0729) * CHOOSE( CONTROL!$C$15, $D$11, 100%, $F$11)</f>
        <v>11.0745</v>
      </c>
      <c r="H405" s="4">
        <f>CHOOSE( CONTROL!$C$32, 12.01, 12.0084) * CHOOSE(CONTROL!$C$15, $D$11, 100%, $F$11)</f>
        <v>12.01</v>
      </c>
      <c r="I405" s="8">
        <f>CHOOSE( CONTROL!$C$32, 10.9767, 10.975) * CHOOSE(CONTROL!$C$15, $D$11, 100%, $F$11)</f>
        <v>10.976699999999999</v>
      </c>
      <c r="J405" s="4">
        <f>CHOOSE( CONTROL!$C$32, 10.8547, 10.8531) * CHOOSE(CONTROL!$C$15, $D$11, 100%, $F$11)</f>
        <v>10.854699999999999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1.2927</v>
      </c>
      <c r="Q405" s="9">
        <v>20.331700000000001</v>
      </c>
      <c r="R405" s="9"/>
      <c r="S405" s="11"/>
    </row>
    <row r="406" spans="1:19" ht="15.75">
      <c r="A406" s="13">
        <v>53508</v>
      </c>
      <c r="B406" s="8">
        <f>CHOOSE( CONTROL!$C$32, 11.016, 11.0144) * CHOOSE(CONTROL!$C$15, $D$11, 100%, $F$11)</f>
        <v>11.016</v>
      </c>
      <c r="C406" s="8">
        <f>CHOOSE( CONTROL!$C$32, 11.024, 11.0224) * CHOOSE(CONTROL!$C$15, $D$11, 100%, $F$11)</f>
        <v>11.023999999999999</v>
      </c>
      <c r="D406" s="8">
        <f>CHOOSE( CONTROL!$C$32, 11.021, 11.0193) * CHOOSE( CONTROL!$C$15, $D$11, 100%, $F$11)</f>
        <v>11.021000000000001</v>
      </c>
      <c r="E406" s="12">
        <f>CHOOSE( CONTROL!$C$32, 11.0209, 11.0192) * CHOOSE( CONTROL!$C$15, $D$11, 100%, $F$11)</f>
        <v>11.020899999999999</v>
      </c>
      <c r="F406" s="4">
        <f>CHOOSE( CONTROL!$C$32, 11.723, 11.7213) * CHOOSE(CONTROL!$C$15, $D$11, 100%, $F$11)</f>
        <v>11.723000000000001</v>
      </c>
      <c r="G406" s="8">
        <f>CHOOSE( CONTROL!$C$32, 10.897, 10.8954) * CHOOSE( CONTROL!$C$15, $D$11, 100%, $F$11)</f>
        <v>10.897</v>
      </c>
      <c r="H406" s="4">
        <f>CHOOSE( CONTROL!$C$32, 11.8323, 11.8307) * CHOOSE(CONTROL!$C$15, $D$11, 100%, $F$11)</f>
        <v>11.8323</v>
      </c>
      <c r="I406" s="8">
        <f>CHOOSE( CONTROL!$C$32, 10.8028, 10.8012) * CHOOSE(CONTROL!$C$15, $D$11, 100%, $F$11)</f>
        <v>10.8028</v>
      </c>
      <c r="J406" s="4">
        <f>CHOOSE( CONTROL!$C$32, 10.6803, 10.6786) * CHOOSE(CONTROL!$C$15, $D$11, 100%, $F$11)</f>
        <v>10.680300000000001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1.2509999999999999</v>
      </c>
      <c r="Q406" s="9">
        <v>19.675799999999999</v>
      </c>
      <c r="R406" s="9"/>
      <c r="S406" s="11"/>
    </row>
    <row r="407" spans="1:19" ht="15.75">
      <c r="A407" s="13">
        <v>53539</v>
      </c>
      <c r="B407" s="8">
        <f>CHOOSE( CONTROL!$C$32, 11.4895, 11.4879) * CHOOSE(CONTROL!$C$15, $D$11, 100%, $F$11)</f>
        <v>11.4895</v>
      </c>
      <c r="C407" s="8">
        <f>CHOOSE( CONTROL!$C$32, 11.4975, 11.4958) * CHOOSE(CONTROL!$C$15, $D$11, 100%, $F$11)</f>
        <v>11.4975</v>
      </c>
      <c r="D407" s="8">
        <f>CHOOSE( CONTROL!$C$32, 11.4947, 11.493) * CHOOSE( CONTROL!$C$15, $D$11, 100%, $F$11)</f>
        <v>11.4947</v>
      </c>
      <c r="E407" s="12">
        <f>CHOOSE( CONTROL!$C$32, 11.4945, 11.4928) * CHOOSE( CONTROL!$C$15, $D$11, 100%, $F$11)</f>
        <v>11.4945</v>
      </c>
      <c r="F407" s="4">
        <f>CHOOSE( CONTROL!$C$32, 12.1965, 12.1948) * CHOOSE(CONTROL!$C$15, $D$11, 100%, $F$11)</f>
        <v>12.1965</v>
      </c>
      <c r="G407" s="8">
        <f>CHOOSE( CONTROL!$C$32, 11.3651, 11.3635) * CHOOSE( CONTROL!$C$15, $D$11, 100%, $F$11)</f>
        <v>11.3651</v>
      </c>
      <c r="H407" s="4">
        <f>CHOOSE( CONTROL!$C$32, 12.3003, 12.2986) * CHOOSE(CONTROL!$C$15, $D$11, 100%, $F$11)</f>
        <v>12.3003</v>
      </c>
      <c r="I407" s="8">
        <f>CHOOSE( CONTROL!$C$32, 11.2634, 11.2618) * CHOOSE(CONTROL!$C$15, $D$11, 100%, $F$11)</f>
        <v>11.263400000000001</v>
      </c>
      <c r="J407" s="4">
        <f>CHOOSE( CONTROL!$C$32, 11.1398, 11.1382) * CHOOSE(CONTROL!$C$15, $D$11, 100%, $F$11)</f>
        <v>11.139799999999999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1.2927</v>
      </c>
      <c r="Q407" s="9">
        <v>20.331700000000001</v>
      </c>
      <c r="R407" s="9"/>
      <c r="S407" s="11"/>
    </row>
    <row r="408" spans="1:19" ht="15.75">
      <c r="A408" s="13">
        <v>53570</v>
      </c>
      <c r="B408" s="8">
        <f>CHOOSE( CONTROL!$C$32, 10.6036, 10.6019) * CHOOSE(CONTROL!$C$15, $D$11, 100%, $F$11)</f>
        <v>10.6036</v>
      </c>
      <c r="C408" s="8">
        <f>CHOOSE( CONTROL!$C$32, 10.6116, 10.6099) * CHOOSE(CONTROL!$C$15, $D$11, 100%, $F$11)</f>
        <v>10.611599999999999</v>
      </c>
      <c r="D408" s="8">
        <f>CHOOSE( CONTROL!$C$32, 10.6089, 10.6072) * CHOOSE( CONTROL!$C$15, $D$11, 100%, $F$11)</f>
        <v>10.6089</v>
      </c>
      <c r="E408" s="12">
        <f>CHOOSE( CONTROL!$C$32, 10.6087, 10.607) * CHOOSE( CONTROL!$C$15, $D$11, 100%, $F$11)</f>
        <v>10.608700000000001</v>
      </c>
      <c r="F408" s="4">
        <f>CHOOSE( CONTROL!$C$32, 11.3105, 11.3089) * CHOOSE(CONTROL!$C$15, $D$11, 100%, $F$11)</f>
        <v>11.310499999999999</v>
      </c>
      <c r="G408" s="8">
        <f>CHOOSE( CONTROL!$C$32, 10.4897, 10.488) * CHOOSE( CONTROL!$C$15, $D$11, 100%, $F$11)</f>
        <v>10.489699999999999</v>
      </c>
      <c r="H408" s="4">
        <f>CHOOSE( CONTROL!$C$32, 11.4247, 11.4231) * CHOOSE(CONTROL!$C$15, $D$11, 100%, $F$11)</f>
        <v>11.4247</v>
      </c>
      <c r="I408" s="8">
        <f>CHOOSE( CONTROL!$C$32, 10.4036, 10.4019) * CHOOSE(CONTROL!$C$15, $D$11, 100%, $F$11)</f>
        <v>10.403600000000001</v>
      </c>
      <c r="J408" s="4">
        <f>CHOOSE( CONTROL!$C$32, 10.28, 10.2784) * CHOOSE(CONTROL!$C$15, $D$11, 100%, $F$11)</f>
        <v>10.28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1.2927</v>
      </c>
      <c r="Q408" s="9">
        <v>20.331700000000001</v>
      </c>
      <c r="R408" s="9"/>
      <c r="S408" s="11"/>
    </row>
    <row r="409" spans="1:19" ht="15.75">
      <c r="A409" s="13">
        <v>53600</v>
      </c>
      <c r="B409" s="8">
        <f>CHOOSE( CONTROL!$C$32, 10.3818, 10.3801) * CHOOSE(CONTROL!$C$15, $D$11, 100%, $F$11)</f>
        <v>10.3818</v>
      </c>
      <c r="C409" s="8">
        <f>CHOOSE( CONTROL!$C$32, 10.3897, 10.3881) * CHOOSE(CONTROL!$C$15, $D$11, 100%, $F$11)</f>
        <v>10.389699999999999</v>
      </c>
      <c r="D409" s="8">
        <f>CHOOSE( CONTROL!$C$32, 10.387, 10.3853) * CHOOSE( CONTROL!$C$15, $D$11, 100%, $F$11)</f>
        <v>10.387</v>
      </c>
      <c r="E409" s="12">
        <f>CHOOSE( CONTROL!$C$32, 10.3868, 10.3851) * CHOOSE( CONTROL!$C$15, $D$11, 100%, $F$11)</f>
        <v>10.386799999999999</v>
      </c>
      <c r="F409" s="4">
        <f>CHOOSE( CONTROL!$C$32, 11.0887, 11.087) * CHOOSE(CONTROL!$C$15, $D$11, 100%, $F$11)</f>
        <v>11.088699999999999</v>
      </c>
      <c r="G409" s="8">
        <f>CHOOSE( CONTROL!$C$32, 10.2704, 10.2688) * CHOOSE( CONTROL!$C$15, $D$11, 100%, $F$11)</f>
        <v>10.2704</v>
      </c>
      <c r="H409" s="4">
        <f>CHOOSE( CONTROL!$C$32, 11.2055, 11.2038) * CHOOSE(CONTROL!$C$15, $D$11, 100%, $F$11)</f>
        <v>11.205500000000001</v>
      </c>
      <c r="I409" s="8">
        <f>CHOOSE( CONTROL!$C$32, 10.188, 10.1864) * CHOOSE(CONTROL!$C$15, $D$11, 100%, $F$11)</f>
        <v>10.188000000000001</v>
      </c>
      <c r="J409" s="4">
        <f>CHOOSE( CONTROL!$C$32, 10.0647, 10.0631) * CHOOSE(CONTROL!$C$15, $D$11, 100%, $F$11)</f>
        <v>10.0647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1.2509999999999999</v>
      </c>
      <c r="Q409" s="9">
        <v>19.675799999999999</v>
      </c>
      <c r="R409" s="9"/>
      <c r="S409" s="11"/>
    </row>
    <row r="410" spans="1:19" ht="15.75">
      <c r="A410" s="13">
        <v>53631</v>
      </c>
      <c r="B410" s="8">
        <f>CHOOSE( CONTROL!$C$32, 10.8401, 10.839) * CHOOSE(CONTROL!$C$15, $D$11, 100%, $F$11)</f>
        <v>10.8401</v>
      </c>
      <c r="C410" s="8">
        <f>CHOOSE( CONTROL!$C$32, 10.8454, 10.8443) * CHOOSE(CONTROL!$C$15, $D$11, 100%, $F$11)</f>
        <v>10.8454</v>
      </c>
      <c r="D410" s="8">
        <f>CHOOSE( CONTROL!$C$32, 10.8483, 10.8472) * CHOOSE( CONTROL!$C$15, $D$11, 100%, $F$11)</f>
        <v>10.8483</v>
      </c>
      <c r="E410" s="12">
        <f>CHOOSE( CONTROL!$C$32, 10.8468, 10.8457) * CHOOSE( CONTROL!$C$15, $D$11, 100%, $F$11)</f>
        <v>10.8468</v>
      </c>
      <c r="F410" s="4">
        <f>CHOOSE( CONTROL!$C$32, 11.5488, 11.5477) * CHOOSE(CONTROL!$C$15, $D$11, 100%, $F$11)</f>
        <v>11.5488</v>
      </c>
      <c r="G410" s="8">
        <f>CHOOSE( CONTROL!$C$32, 10.7252, 10.7241) * CHOOSE( CONTROL!$C$15, $D$11, 100%, $F$11)</f>
        <v>10.725199999999999</v>
      </c>
      <c r="H410" s="4">
        <f>CHOOSE( CONTROL!$C$32, 11.6601, 11.6591) * CHOOSE(CONTROL!$C$15, $D$11, 100%, $F$11)</f>
        <v>11.6601</v>
      </c>
      <c r="I410" s="8">
        <f>CHOOSE( CONTROL!$C$32, 10.6355, 10.6344) * CHOOSE(CONTROL!$C$15, $D$11, 100%, $F$11)</f>
        <v>10.6355</v>
      </c>
      <c r="J410" s="4">
        <f>CHOOSE( CONTROL!$C$32, 10.5112, 10.5101) * CHOOSE(CONTROL!$C$15, $D$11, 100%, $F$11)</f>
        <v>10.511200000000001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1.2927</v>
      </c>
      <c r="Q410" s="9">
        <v>20.331700000000001</v>
      </c>
      <c r="R410" s="9"/>
      <c r="S410" s="11"/>
    </row>
    <row r="411" spans="1:19" ht="15.75">
      <c r="A411" s="13">
        <v>53661</v>
      </c>
      <c r="B411" s="8">
        <f>CHOOSE( CONTROL!$C$32, 11.6899, 11.6888) * CHOOSE(CONTROL!$C$15, $D$11, 100%, $F$11)</f>
        <v>11.6899</v>
      </c>
      <c r="C411" s="8">
        <f>CHOOSE( CONTROL!$C$32, 11.695, 11.6939) * CHOOSE(CONTROL!$C$15, $D$11, 100%, $F$11)</f>
        <v>11.695</v>
      </c>
      <c r="D411" s="8">
        <f>CHOOSE( CONTROL!$C$32, 11.6772, 11.6761) * CHOOSE( CONTROL!$C$15, $D$11, 100%, $F$11)</f>
        <v>11.677199999999999</v>
      </c>
      <c r="E411" s="12">
        <f>CHOOSE( CONTROL!$C$32, 11.6832, 11.6821) * CHOOSE( CONTROL!$C$15, $D$11, 100%, $F$11)</f>
        <v>11.683199999999999</v>
      </c>
      <c r="F411" s="4">
        <f>CHOOSE( CONTROL!$C$32, 12.3552, 12.3541) * CHOOSE(CONTROL!$C$15, $D$11, 100%, $F$11)</f>
        <v>12.3552</v>
      </c>
      <c r="G411" s="8">
        <f>CHOOSE( CONTROL!$C$32, 11.5646, 11.5635) * CHOOSE( CONTROL!$C$15, $D$11, 100%, $F$11)</f>
        <v>11.5646</v>
      </c>
      <c r="H411" s="4">
        <f>CHOOSE( CONTROL!$C$32, 12.4571, 12.4561) * CHOOSE(CONTROL!$C$15, $D$11, 100%, $F$11)</f>
        <v>12.457100000000001</v>
      </c>
      <c r="I411" s="8">
        <f>CHOOSE( CONTROL!$C$32, 11.5228, 11.5217) * CHOOSE(CONTROL!$C$15, $D$11, 100%, $F$11)</f>
        <v>11.5228</v>
      </c>
      <c r="J411" s="4">
        <f>CHOOSE( CONTROL!$C$32, 11.3363, 11.3352) * CHOOSE(CONTROL!$C$15, $D$11, 100%, $F$11)</f>
        <v>11.3363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19.675799999999999</v>
      </c>
      <c r="R411" s="9"/>
      <c r="S411" s="11"/>
    </row>
    <row r="412" spans="1:19" ht="15.75">
      <c r="A412" s="13">
        <v>53692</v>
      </c>
      <c r="B412" s="8">
        <f>CHOOSE( CONTROL!$C$32, 11.6687, 11.6676) * CHOOSE(CONTROL!$C$15, $D$11, 100%, $F$11)</f>
        <v>11.668699999999999</v>
      </c>
      <c r="C412" s="8">
        <f>CHOOSE( CONTROL!$C$32, 11.6737, 11.6726) * CHOOSE(CONTROL!$C$15, $D$11, 100%, $F$11)</f>
        <v>11.6737</v>
      </c>
      <c r="D412" s="8">
        <f>CHOOSE( CONTROL!$C$32, 11.6573, 11.6563) * CHOOSE( CONTROL!$C$15, $D$11, 100%, $F$11)</f>
        <v>11.657299999999999</v>
      </c>
      <c r="E412" s="12">
        <f>CHOOSE( CONTROL!$C$32, 11.6628, 11.6617) * CHOOSE( CONTROL!$C$15, $D$11, 100%, $F$11)</f>
        <v>11.662800000000001</v>
      </c>
      <c r="F412" s="4">
        <f>CHOOSE( CONTROL!$C$32, 12.3339, 12.3329) * CHOOSE(CONTROL!$C$15, $D$11, 100%, $F$11)</f>
        <v>12.3339</v>
      </c>
      <c r="G412" s="8">
        <f>CHOOSE( CONTROL!$C$32, 11.5446, 11.5435) * CHOOSE( CONTROL!$C$15, $D$11, 100%, $F$11)</f>
        <v>11.544600000000001</v>
      </c>
      <c r="H412" s="4">
        <f>CHOOSE( CONTROL!$C$32, 12.4361, 12.4351) * CHOOSE(CONTROL!$C$15, $D$11, 100%, $F$11)</f>
        <v>12.4361</v>
      </c>
      <c r="I412" s="8">
        <f>CHOOSE( CONTROL!$C$32, 11.5066, 11.5056) * CHOOSE(CONTROL!$C$15, $D$11, 100%, $F$11)</f>
        <v>11.506600000000001</v>
      </c>
      <c r="J412" s="4">
        <f>CHOOSE( CONTROL!$C$32, 11.3157, 11.3146) * CHOOSE(CONTROL!$C$15, $D$11, 100%, $F$11)</f>
        <v>11.3157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20.331700000000001</v>
      </c>
      <c r="R412" s="9"/>
      <c r="S412" s="11"/>
    </row>
    <row r="413" spans="1:19" ht="15.75">
      <c r="A413" s="13">
        <v>53723</v>
      </c>
      <c r="B413" s="8">
        <f>CHOOSE( CONTROL!$C$32, 12.0125, 12.0115) * CHOOSE(CONTROL!$C$15, $D$11, 100%, $F$11)</f>
        <v>12.012499999999999</v>
      </c>
      <c r="C413" s="8">
        <f>CHOOSE( CONTROL!$C$32, 12.0176, 12.0165) * CHOOSE(CONTROL!$C$15, $D$11, 100%, $F$11)</f>
        <v>12.0176</v>
      </c>
      <c r="D413" s="8">
        <f>CHOOSE( CONTROL!$C$32, 11.9963, 11.9953) * CHOOSE( CONTROL!$C$15, $D$11, 100%, $F$11)</f>
        <v>11.9963</v>
      </c>
      <c r="E413" s="12">
        <f>CHOOSE( CONTROL!$C$32, 12.0035, 12.0025) * CHOOSE( CONTROL!$C$15, $D$11, 100%, $F$11)</f>
        <v>12.003500000000001</v>
      </c>
      <c r="F413" s="4">
        <f>CHOOSE( CONTROL!$C$32, 12.6778, 12.6767) * CHOOSE(CONTROL!$C$15, $D$11, 100%, $F$11)</f>
        <v>12.6778</v>
      </c>
      <c r="G413" s="8">
        <f>CHOOSE( CONTROL!$C$32, 11.874, 11.8729) * CHOOSE( CONTROL!$C$15, $D$11, 100%, $F$11)</f>
        <v>11.874000000000001</v>
      </c>
      <c r="H413" s="4">
        <f>CHOOSE( CONTROL!$C$32, 12.776, 12.7749) * CHOOSE(CONTROL!$C$15, $D$11, 100%, $F$11)</f>
        <v>12.776</v>
      </c>
      <c r="I413" s="8">
        <f>CHOOSE( CONTROL!$C$32, 11.8026, 11.8015) * CHOOSE(CONTROL!$C$15, $D$11, 100%, $F$11)</f>
        <v>11.8026</v>
      </c>
      <c r="J413" s="4">
        <f>CHOOSE( CONTROL!$C$32, 11.6494, 11.6484) * CHOOSE(CONTROL!$C$15, $D$11, 100%, $F$11)</f>
        <v>11.6494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20.2666</v>
      </c>
      <c r="R413" s="9"/>
      <c r="S413" s="11"/>
    </row>
    <row r="414" spans="1:19" ht="15.75">
      <c r="A414" s="13">
        <v>53751</v>
      </c>
      <c r="B414" s="8">
        <f>CHOOSE( CONTROL!$C$32, 11.2366, 11.2355) * CHOOSE(CONTROL!$C$15, $D$11, 100%, $F$11)</f>
        <v>11.236599999999999</v>
      </c>
      <c r="C414" s="8">
        <f>CHOOSE( CONTROL!$C$32, 11.2417, 11.2406) * CHOOSE(CONTROL!$C$15, $D$11, 100%, $F$11)</f>
        <v>11.2417</v>
      </c>
      <c r="D414" s="8">
        <f>CHOOSE( CONTROL!$C$32, 11.2203, 11.2192) * CHOOSE( CONTROL!$C$15, $D$11, 100%, $F$11)</f>
        <v>11.2203</v>
      </c>
      <c r="E414" s="12">
        <f>CHOOSE( CONTROL!$C$32, 11.2276, 11.2265) * CHOOSE( CONTROL!$C$15, $D$11, 100%, $F$11)</f>
        <v>11.227600000000001</v>
      </c>
      <c r="F414" s="4">
        <f>CHOOSE( CONTROL!$C$32, 11.9019, 11.9008) * CHOOSE(CONTROL!$C$15, $D$11, 100%, $F$11)</f>
        <v>11.901899999999999</v>
      </c>
      <c r="G414" s="8">
        <f>CHOOSE( CONTROL!$C$32, 11.107, 11.106) * CHOOSE( CONTROL!$C$15, $D$11, 100%, $F$11)</f>
        <v>11.106999999999999</v>
      </c>
      <c r="H414" s="4">
        <f>CHOOSE( CONTROL!$C$32, 12.0092, 12.0081) * CHOOSE(CONTROL!$C$15, $D$11, 100%, $F$11)</f>
        <v>12.0092</v>
      </c>
      <c r="I414" s="8">
        <f>CHOOSE( CONTROL!$C$32, 11.0488, 11.0477) * CHOOSE(CONTROL!$C$15, $D$11, 100%, $F$11)</f>
        <v>11.0488</v>
      </c>
      <c r="J414" s="4">
        <f>CHOOSE( CONTROL!$C$32, 10.8964, 10.8953) * CHOOSE(CONTROL!$C$15, $D$11, 100%, $F$11)</f>
        <v>10.8964</v>
      </c>
      <c r="K414" s="4"/>
      <c r="L414" s="9">
        <v>26.469899999999999</v>
      </c>
      <c r="M414" s="9">
        <v>10.8962</v>
      </c>
      <c r="N414" s="9">
        <v>4.4660000000000002</v>
      </c>
      <c r="O414" s="9">
        <v>0.33789999999999998</v>
      </c>
      <c r="P414" s="9">
        <v>1.1676</v>
      </c>
      <c r="Q414" s="9">
        <v>18.305299999999999</v>
      </c>
      <c r="R414" s="9"/>
      <c r="S414" s="11"/>
    </row>
    <row r="415" spans="1:19" ht="15.75">
      <c r="A415" s="13">
        <v>53782</v>
      </c>
      <c r="B415" s="8">
        <f>CHOOSE( CONTROL!$C$32, 10.9976, 10.9965) * CHOOSE(CONTROL!$C$15, $D$11, 100%, $F$11)</f>
        <v>10.9976</v>
      </c>
      <c r="C415" s="8">
        <f>CHOOSE( CONTROL!$C$32, 11.0027, 11.0016) * CHOOSE(CONTROL!$C$15, $D$11, 100%, $F$11)</f>
        <v>11.002700000000001</v>
      </c>
      <c r="D415" s="8">
        <f>CHOOSE( CONTROL!$C$32, 10.9806, 10.9796) * CHOOSE( CONTROL!$C$15, $D$11, 100%, $F$11)</f>
        <v>10.980600000000001</v>
      </c>
      <c r="E415" s="12">
        <f>CHOOSE( CONTROL!$C$32, 10.9881, 10.9871) * CHOOSE( CONTROL!$C$15, $D$11, 100%, $F$11)</f>
        <v>10.988099999999999</v>
      </c>
      <c r="F415" s="4">
        <f>CHOOSE( CONTROL!$C$32, 11.6629, 11.6618) * CHOOSE(CONTROL!$C$15, $D$11, 100%, $F$11)</f>
        <v>11.6629</v>
      </c>
      <c r="G415" s="8">
        <f>CHOOSE( CONTROL!$C$32, 10.8704, 10.8693) * CHOOSE( CONTROL!$C$15, $D$11, 100%, $F$11)</f>
        <v>10.8704</v>
      </c>
      <c r="H415" s="4">
        <f>CHOOSE( CONTROL!$C$32, 11.773, 11.7719) * CHOOSE(CONTROL!$C$15, $D$11, 100%, $F$11)</f>
        <v>11.773</v>
      </c>
      <c r="I415" s="8">
        <f>CHOOSE( CONTROL!$C$32, 10.8147, 10.8137) * CHOOSE(CONTROL!$C$15, $D$11, 100%, $F$11)</f>
        <v>10.8147</v>
      </c>
      <c r="J415" s="4">
        <f>CHOOSE( CONTROL!$C$32, 10.6644, 10.6634) * CHOOSE(CONTROL!$C$15, $D$11, 100%, $F$11)</f>
        <v>10.664400000000001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20.2666</v>
      </c>
      <c r="R415" s="9"/>
      <c r="S415" s="11"/>
    </row>
    <row r="416" spans="1:19" ht="15.75">
      <c r="A416" s="13">
        <v>53812</v>
      </c>
      <c r="B416" s="8">
        <f>CHOOSE( CONTROL!$C$32, 11.1654, 11.1643) * CHOOSE(CONTROL!$C$15, $D$11, 100%, $F$11)</f>
        <v>11.1654</v>
      </c>
      <c r="C416" s="8">
        <f>CHOOSE( CONTROL!$C$32, 11.1699, 11.1688) * CHOOSE(CONTROL!$C$15, $D$11, 100%, $F$11)</f>
        <v>11.1699</v>
      </c>
      <c r="D416" s="8">
        <f>CHOOSE( CONTROL!$C$32, 11.1727, 11.1717) * CHOOSE( CONTROL!$C$15, $D$11, 100%, $F$11)</f>
        <v>11.172700000000001</v>
      </c>
      <c r="E416" s="12">
        <f>CHOOSE( CONTROL!$C$32, 11.1713, 11.1702) * CHOOSE( CONTROL!$C$15, $D$11, 100%, $F$11)</f>
        <v>11.1713</v>
      </c>
      <c r="F416" s="4">
        <f>CHOOSE( CONTROL!$C$32, 11.8737, 11.8726) * CHOOSE(CONTROL!$C$15, $D$11, 100%, $F$11)</f>
        <v>11.873699999999999</v>
      </c>
      <c r="G416" s="8">
        <f>CHOOSE( CONTROL!$C$32, 11.0459, 11.0448) * CHOOSE( CONTROL!$C$15, $D$11, 100%, $F$11)</f>
        <v>11.0459</v>
      </c>
      <c r="H416" s="4">
        <f>CHOOSE( CONTROL!$C$32, 11.9813, 11.9802) * CHOOSE(CONTROL!$C$15, $D$11, 100%, $F$11)</f>
        <v>11.981299999999999</v>
      </c>
      <c r="I416" s="8">
        <f>CHOOSE( CONTROL!$C$32, 10.9491, 10.9481) * CHOOSE(CONTROL!$C$15, $D$11, 100%, $F$11)</f>
        <v>10.9491</v>
      </c>
      <c r="J416" s="4">
        <f>CHOOSE( CONTROL!$C$32, 10.8265, 10.8255) * CHOOSE(CONTROL!$C$15, $D$11, 100%, $F$11)</f>
        <v>10.826499999999999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1.2509999999999999</v>
      </c>
      <c r="Q416" s="9">
        <v>19.6128</v>
      </c>
      <c r="R416" s="9"/>
      <c r="S416" s="11"/>
    </row>
    <row r="417" spans="1:19" ht="15.75">
      <c r="A417" s="13">
        <v>53843</v>
      </c>
      <c r="B417" s="8">
        <f>CHOOSE( CONTROL!$C$32, 11.4645, 11.4629) * CHOOSE(CONTROL!$C$15, $D$11, 100%, $F$11)</f>
        <v>11.464499999999999</v>
      </c>
      <c r="C417" s="8">
        <f>CHOOSE( CONTROL!$C$32, 11.4725, 11.4709) * CHOOSE(CONTROL!$C$15, $D$11, 100%, $F$11)</f>
        <v>11.4725</v>
      </c>
      <c r="D417" s="8">
        <f>CHOOSE( CONTROL!$C$32, 11.4693, 11.4676) * CHOOSE( CONTROL!$C$15, $D$11, 100%, $F$11)</f>
        <v>11.4693</v>
      </c>
      <c r="E417" s="12">
        <f>CHOOSE( CONTROL!$C$32, 11.4692, 11.4676) * CHOOSE( CONTROL!$C$15, $D$11, 100%, $F$11)</f>
        <v>11.469200000000001</v>
      </c>
      <c r="F417" s="4">
        <f>CHOOSE( CONTROL!$C$32, 12.1715, 12.1698) * CHOOSE(CONTROL!$C$15, $D$11, 100%, $F$11)</f>
        <v>12.1715</v>
      </c>
      <c r="G417" s="8">
        <f>CHOOSE( CONTROL!$C$32, 11.3401, 11.3385) * CHOOSE( CONTROL!$C$15, $D$11, 100%, $F$11)</f>
        <v>11.3401</v>
      </c>
      <c r="H417" s="4">
        <f>CHOOSE( CONTROL!$C$32, 12.2756, 12.274) * CHOOSE(CONTROL!$C$15, $D$11, 100%, $F$11)</f>
        <v>12.275600000000001</v>
      </c>
      <c r="I417" s="8">
        <f>CHOOSE( CONTROL!$C$32, 11.2376, 11.2359) * CHOOSE(CONTROL!$C$15, $D$11, 100%, $F$11)</f>
        <v>11.2376</v>
      </c>
      <c r="J417" s="4">
        <f>CHOOSE( CONTROL!$C$32, 11.1155, 11.1139) * CHOOSE(CONTROL!$C$15, $D$11, 100%, $F$11)</f>
        <v>11.115500000000001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1.2927</v>
      </c>
      <c r="Q417" s="9">
        <v>20.2666</v>
      </c>
      <c r="R417" s="9"/>
      <c r="S417" s="11"/>
    </row>
    <row r="418" spans="1:19" ht="15.75">
      <c r="A418" s="13">
        <v>53873</v>
      </c>
      <c r="B418" s="8">
        <f>CHOOSE( CONTROL!$C$32, 11.2804, 11.2788) * CHOOSE(CONTROL!$C$15, $D$11, 100%, $F$11)</f>
        <v>11.2804</v>
      </c>
      <c r="C418" s="8">
        <f>CHOOSE( CONTROL!$C$32, 11.2884, 11.2867) * CHOOSE(CONTROL!$C$15, $D$11, 100%, $F$11)</f>
        <v>11.288399999999999</v>
      </c>
      <c r="D418" s="8">
        <f>CHOOSE( CONTROL!$C$32, 11.2854, 11.2837) * CHOOSE( CONTROL!$C$15, $D$11, 100%, $F$11)</f>
        <v>11.285399999999999</v>
      </c>
      <c r="E418" s="12">
        <f>CHOOSE( CONTROL!$C$32, 11.2853, 11.2836) * CHOOSE( CONTROL!$C$15, $D$11, 100%, $F$11)</f>
        <v>11.285299999999999</v>
      </c>
      <c r="F418" s="4">
        <f>CHOOSE( CONTROL!$C$32, 11.9874, 11.9857) * CHOOSE(CONTROL!$C$15, $D$11, 100%, $F$11)</f>
        <v>11.987399999999999</v>
      </c>
      <c r="G418" s="8">
        <f>CHOOSE( CONTROL!$C$32, 11.1583, 11.1567) * CHOOSE( CONTROL!$C$15, $D$11, 100%, $F$11)</f>
        <v>11.158300000000001</v>
      </c>
      <c r="H418" s="4">
        <f>CHOOSE( CONTROL!$C$32, 12.0936, 12.092) * CHOOSE(CONTROL!$C$15, $D$11, 100%, $F$11)</f>
        <v>12.0936</v>
      </c>
      <c r="I418" s="8">
        <f>CHOOSE( CONTROL!$C$32, 11.0596, 11.0579) * CHOOSE(CONTROL!$C$15, $D$11, 100%, $F$11)</f>
        <v>11.0596</v>
      </c>
      <c r="J418" s="4">
        <f>CHOOSE( CONTROL!$C$32, 10.9368, 10.9352) * CHOOSE(CONTROL!$C$15, $D$11, 100%, $F$11)</f>
        <v>10.9368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1.2509999999999999</v>
      </c>
      <c r="Q418" s="9">
        <v>19.6128</v>
      </c>
      <c r="R418" s="9"/>
      <c r="S418" s="11"/>
    </row>
    <row r="419" spans="1:19" ht="15.75">
      <c r="A419" s="13">
        <v>53904</v>
      </c>
      <c r="B419" s="8">
        <f>CHOOSE( CONTROL!$C$32, 11.7653, 11.7636) * CHOOSE(CONTROL!$C$15, $D$11, 100%, $F$11)</f>
        <v>11.7653</v>
      </c>
      <c r="C419" s="8">
        <f>CHOOSE( CONTROL!$C$32, 11.7733, 11.7716) * CHOOSE(CONTROL!$C$15, $D$11, 100%, $F$11)</f>
        <v>11.773300000000001</v>
      </c>
      <c r="D419" s="8">
        <f>CHOOSE( CONTROL!$C$32, 11.7705, 11.7688) * CHOOSE( CONTROL!$C$15, $D$11, 100%, $F$11)</f>
        <v>11.7705</v>
      </c>
      <c r="E419" s="12">
        <f>CHOOSE( CONTROL!$C$32, 11.7703, 11.7686) * CHOOSE( CONTROL!$C$15, $D$11, 100%, $F$11)</f>
        <v>11.770300000000001</v>
      </c>
      <c r="F419" s="4">
        <f>CHOOSE( CONTROL!$C$32, 12.4722, 12.4706) * CHOOSE(CONTROL!$C$15, $D$11, 100%, $F$11)</f>
        <v>12.472200000000001</v>
      </c>
      <c r="G419" s="8">
        <f>CHOOSE( CONTROL!$C$32, 11.6377, 11.636) * CHOOSE( CONTROL!$C$15, $D$11, 100%, $F$11)</f>
        <v>11.637700000000001</v>
      </c>
      <c r="H419" s="4">
        <f>CHOOSE( CONTROL!$C$32, 12.5728, 12.5712) * CHOOSE(CONTROL!$C$15, $D$11, 100%, $F$11)</f>
        <v>12.572800000000001</v>
      </c>
      <c r="I419" s="8">
        <f>CHOOSE( CONTROL!$C$32, 11.5312, 11.5296) * CHOOSE(CONTROL!$C$15, $D$11, 100%, $F$11)</f>
        <v>11.5312</v>
      </c>
      <c r="J419" s="4">
        <f>CHOOSE( CONTROL!$C$32, 11.4074, 11.4058) * CHOOSE(CONTROL!$C$15, $D$11, 100%, $F$11)</f>
        <v>11.407400000000001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1.2927</v>
      </c>
      <c r="Q419" s="9">
        <v>20.2666</v>
      </c>
      <c r="R419" s="9"/>
      <c r="S419" s="11"/>
    </row>
    <row r="420" spans="1:19" ht="15.75">
      <c r="A420" s="13">
        <v>53935</v>
      </c>
      <c r="B420" s="8">
        <f>CHOOSE( CONTROL!$C$32, 10.8581, 10.8564) * CHOOSE(CONTROL!$C$15, $D$11, 100%, $F$11)</f>
        <v>10.8581</v>
      </c>
      <c r="C420" s="8">
        <f>CHOOSE( CONTROL!$C$32, 10.866, 10.8644) * CHOOSE(CONTROL!$C$15, $D$11, 100%, $F$11)</f>
        <v>10.866</v>
      </c>
      <c r="D420" s="8">
        <f>CHOOSE( CONTROL!$C$32, 10.8634, 10.8617) * CHOOSE( CONTROL!$C$15, $D$11, 100%, $F$11)</f>
        <v>10.8634</v>
      </c>
      <c r="E420" s="12">
        <f>CHOOSE( CONTROL!$C$32, 10.8631, 10.8615) * CHOOSE( CONTROL!$C$15, $D$11, 100%, $F$11)</f>
        <v>10.863099999999999</v>
      </c>
      <c r="F420" s="4">
        <f>CHOOSE( CONTROL!$C$32, 11.565, 11.5634) * CHOOSE(CONTROL!$C$15, $D$11, 100%, $F$11)</f>
        <v>11.565</v>
      </c>
      <c r="G420" s="8">
        <f>CHOOSE( CONTROL!$C$32, 10.7412, 10.7395) * CHOOSE( CONTROL!$C$15, $D$11, 100%, $F$11)</f>
        <v>10.741199999999999</v>
      </c>
      <c r="H420" s="4">
        <f>CHOOSE( CONTROL!$C$32, 11.6762, 11.6746) * CHOOSE(CONTROL!$C$15, $D$11, 100%, $F$11)</f>
        <v>11.6762</v>
      </c>
      <c r="I420" s="8">
        <f>CHOOSE( CONTROL!$C$32, 10.6506, 10.649) * CHOOSE(CONTROL!$C$15, $D$11, 100%, $F$11)</f>
        <v>10.650600000000001</v>
      </c>
      <c r="J420" s="4">
        <f>CHOOSE( CONTROL!$C$32, 10.5269, 10.5253) * CHOOSE(CONTROL!$C$15, $D$11, 100%, $F$11)</f>
        <v>10.526899999999999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1.2927</v>
      </c>
      <c r="Q420" s="9">
        <v>20.2666</v>
      </c>
      <c r="R420" s="9"/>
      <c r="S420" s="11"/>
    </row>
    <row r="421" spans="1:19" ht="15.75">
      <c r="A421" s="13">
        <v>53965</v>
      </c>
      <c r="B421" s="8">
        <f>CHOOSE( CONTROL!$C$32, 10.6309, 10.6292) * CHOOSE(CONTROL!$C$15, $D$11, 100%, $F$11)</f>
        <v>10.6309</v>
      </c>
      <c r="C421" s="8">
        <f>CHOOSE( CONTROL!$C$32, 10.6389, 10.6372) * CHOOSE(CONTROL!$C$15, $D$11, 100%, $F$11)</f>
        <v>10.6389</v>
      </c>
      <c r="D421" s="8">
        <f>CHOOSE( CONTROL!$C$32, 10.6361, 10.6345) * CHOOSE( CONTROL!$C$15, $D$11, 100%, $F$11)</f>
        <v>10.636100000000001</v>
      </c>
      <c r="E421" s="12">
        <f>CHOOSE( CONTROL!$C$32, 10.6359, 10.6343) * CHOOSE( CONTROL!$C$15, $D$11, 100%, $F$11)</f>
        <v>10.635899999999999</v>
      </c>
      <c r="F421" s="4">
        <f>CHOOSE( CONTROL!$C$32, 11.3378, 11.3362) * CHOOSE(CONTROL!$C$15, $D$11, 100%, $F$11)</f>
        <v>11.3378</v>
      </c>
      <c r="G421" s="8">
        <f>CHOOSE( CONTROL!$C$32, 10.5166, 10.515) * CHOOSE( CONTROL!$C$15, $D$11, 100%, $F$11)</f>
        <v>10.5166</v>
      </c>
      <c r="H421" s="4">
        <f>CHOOSE( CONTROL!$C$32, 11.4517, 11.4501) * CHOOSE(CONTROL!$C$15, $D$11, 100%, $F$11)</f>
        <v>11.451700000000001</v>
      </c>
      <c r="I421" s="8">
        <f>CHOOSE( CONTROL!$C$32, 10.4299, 10.4283) * CHOOSE(CONTROL!$C$15, $D$11, 100%, $F$11)</f>
        <v>10.4299</v>
      </c>
      <c r="J421" s="4">
        <f>CHOOSE( CONTROL!$C$32, 10.3065, 10.3049) * CHOOSE(CONTROL!$C$15, $D$11, 100%, $F$11)</f>
        <v>10.3065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1.2509999999999999</v>
      </c>
      <c r="Q421" s="9">
        <v>19.6128</v>
      </c>
      <c r="R421" s="9"/>
      <c r="S421" s="11"/>
    </row>
    <row r="422" spans="1:19" ht="15.75">
      <c r="A422" s="13">
        <v>53996</v>
      </c>
      <c r="B422" s="8">
        <f>CHOOSE( CONTROL!$C$32, 11.1003, 11.0992) * CHOOSE(CONTROL!$C$15, $D$11, 100%, $F$11)</f>
        <v>11.100300000000001</v>
      </c>
      <c r="C422" s="8">
        <f>CHOOSE( CONTROL!$C$32, 11.1056, 11.1045) * CHOOSE(CONTROL!$C$15, $D$11, 100%, $F$11)</f>
        <v>11.105600000000001</v>
      </c>
      <c r="D422" s="8">
        <f>CHOOSE( CONTROL!$C$32, 11.1085, 11.1074) * CHOOSE( CONTROL!$C$15, $D$11, 100%, $F$11)</f>
        <v>11.108499999999999</v>
      </c>
      <c r="E422" s="12">
        <f>CHOOSE( CONTROL!$C$32, 11.107, 11.1059) * CHOOSE( CONTROL!$C$15, $D$11, 100%, $F$11)</f>
        <v>11.106999999999999</v>
      </c>
      <c r="F422" s="4">
        <f>CHOOSE( CONTROL!$C$32, 11.809, 11.8079) * CHOOSE(CONTROL!$C$15, $D$11, 100%, $F$11)</f>
        <v>11.808999999999999</v>
      </c>
      <c r="G422" s="8">
        <f>CHOOSE( CONTROL!$C$32, 10.9824, 10.9813) * CHOOSE( CONTROL!$C$15, $D$11, 100%, $F$11)</f>
        <v>10.9824</v>
      </c>
      <c r="H422" s="4">
        <f>CHOOSE( CONTROL!$C$32, 11.9173, 11.9162) * CHOOSE(CONTROL!$C$15, $D$11, 100%, $F$11)</f>
        <v>11.917299999999999</v>
      </c>
      <c r="I422" s="8">
        <f>CHOOSE( CONTROL!$C$32, 10.8881, 10.8871) * CHOOSE(CONTROL!$C$15, $D$11, 100%, $F$11)</f>
        <v>10.8881</v>
      </c>
      <c r="J422" s="4">
        <f>CHOOSE( CONTROL!$C$32, 10.7637, 10.7626) * CHOOSE(CONTROL!$C$15, $D$11, 100%, $F$11)</f>
        <v>10.7637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1.2927</v>
      </c>
      <c r="Q422" s="9">
        <v>20.2666</v>
      </c>
      <c r="R422" s="9"/>
      <c r="S422" s="11"/>
    </row>
    <row r="423" spans="1:19" ht="15.75">
      <c r="A423" s="13">
        <v>54026</v>
      </c>
      <c r="B423" s="8">
        <f>CHOOSE( CONTROL!$C$32, 11.9705, 11.9695) * CHOOSE(CONTROL!$C$15, $D$11, 100%, $F$11)</f>
        <v>11.970499999999999</v>
      </c>
      <c r="C423" s="8">
        <f>CHOOSE( CONTROL!$C$32, 11.9756, 11.9745) * CHOOSE(CONTROL!$C$15, $D$11, 100%, $F$11)</f>
        <v>11.9756</v>
      </c>
      <c r="D423" s="8">
        <f>CHOOSE( CONTROL!$C$32, 11.9578, 11.9567) * CHOOSE( CONTROL!$C$15, $D$11, 100%, $F$11)</f>
        <v>11.957800000000001</v>
      </c>
      <c r="E423" s="12">
        <f>CHOOSE( CONTROL!$C$32, 11.9638, 11.9627) * CHOOSE( CONTROL!$C$15, $D$11, 100%, $F$11)</f>
        <v>11.963800000000001</v>
      </c>
      <c r="F423" s="4">
        <f>CHOOSE( CONTROL!$C$32, 12.6358, 12.6347) * CHOOSE(CONTROL!$C$15, $D$11, 100%, $F$11)</f>
        <v>12.6358</v>
      </c>
      <c r="G423" s="8">
        <f>CHOOSE( CONTROL!$C$32, 11.8419, 11.8409) * CHOOSE( CONTROL!$C$15, $D$11, 100%, $F$11)</f>
        <v>11.841900000000001</v>
      </c>
      <c r="H423" s="4">
        <f>CHOOSE( CONTROL!$C$32, 12.7345, 12.7334) * CHOOSE(CONTROL!$C$15, $D$11, 100%, $F$11)</f>
        <v>12.734500000000001</v>
      </c>
      <c r="I423" s="8">
        <f>CHOOSE( CONTROL!$C$32, 11.7953, 11.7942) * CHOOSE(CONTROL!$C$15, $D$11, 100%, $F$11)</f>
        <v>11.795299999999999</v>
      </c>
      <c r="J423" s="4">
        <f>CHOOSE( CONTROL!$C$32, 11.6087, 11.6076) * CHOOSE(CONTROL!$C$15, $D$11, 100%, $F$11)</f>
        <v>11.608700000000001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19.6128</v>
      </c>
      <c r="R423" s="9"/>
      <c r="S423" s="11"/>
    </row>
    <row r="424" spans="1:19" ht="15.75">
      <c r="A424" s="13">
        <v>54057</v>
      </c>
      <c r="B424" s="8">
        <f>CHOOSE( CONTROL!$C$32, 11.9488, 11.9477) * CHOOSE(CONTROL!$C$15, $D$11, 100%, $F$11)</f>
        <v>11.9488</v>
      </c>
      <c r="C424" s="8">
        <f>CHOOSE( CONTROL!$C$32, 11.9539, 11.9528) * CHOOSE(CONTROL!$C$15, $D$11, 100%, $F$11)</f>
        <v>11.953900000000001</v>
      </c>
      <c r="D424" s="8">
        <f>CHOOSE( CONTROL!$C$32, 11.9375, 11.9364) * CHOOSE( CONTROL!$C$15, $D$11, 100%, $F$11)</f>
        <v>11.9375</v>
      </c>
      <c r="E424" s="12">
        <f>CHOOSE( CONTROL!$C$32, 11.943, 11.9419) * CHOOSE( CONTROL!$C$15, $D$11, 100%, $F$11)</f>
        <v>11.943</v>
      </c>
      <c r="F424" s="4">
        <f>CHOOSE( CONTROL!$C$32, 12.6141, 12.613) * CHOOSE(CONTROL!$C$15, $D$11, 100%, $F$11)</f>
        <v>12.614100000000001</v>
      </c>
      <c r="G424" s="8">
        <f>CHOOSE( CONTROL!$C$32, 11.8215, 11.8204) * CHOOSE( CONTROL!$C$15, $D$11, 100%, $F$11)</f>
        <v>11.8215</v>
      </c>
      <c r="H424" s="4">
        <f>CHOOSE( CONTROL!$C$32, 12.713, 12.7119) * CHOOSE(CONTROL!$C$15, $D$11, 100%, $F$11)</f>
        <v>12.712999999999999</v>
      </c>
      <c r="I424" s="8">
        <f>CHOOSE( CONTROL!$C$32, 11.7786, 11.7776) * CHOOSE(CONTROL!$C$15, $D$11, 100%, $F$11)</f>
        <v>11.778600000000001</v>
      </c>
      <c r="J424" s="4">
        <f>CHOOSE( CONTROL!$C$32, 11.5875, 11.5865) * CHOOSE(CONTROL!$C$15, $D$11, 100%, $F$11)</f>
        <v>11.5875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20.2666</v>
      </c>
      <c r="R424" s="9"/>
      <c r="S424" s="11"/>
    </row>
    <row r="425" spans="1:19" ht="15.75">
      <c r="A425" s="13">
        <v>54088</v>
      </c>
      <c r="B425" s="8">
        <f>CHOOSE( CONTROL!$C$32, 12.3009, 12.2999) * CHOOSE(CONTROL!$C$15, $D$11, 100%, $F$11)</f>
        <v>12.3009</v>
      </c>
      <c r="C425" s="8">
        <f>CHOOSE( CONTROL!$C$32, 12.306, 12.3049) * CHOOSE(CONTROL!$C$15, $D$11, 100%, $F$11)</f>
        <v>12.305999999999999</v>
      </c>
      <c r="D425" s="8">
        <f>CHOOSE( CONTROL!$C$32, 12.2847, 12.2836) * CHOOSE( CONTROL!$C$15, $D$11, 100%, $F$11)</f>
        <v>12.284700000000001</v>
      </c>
      <c r="E425" s="12">
        <f>CHOOSE( CONTROL!$C$32, 12.2919, 12.2909) * CHOOSE( CONTROL!$C$15, $D$11, 100%, $F$11)</f>
        <v>12.2919</v>
      </c>
      <c r="F425" s="4">
        <f>CHOOSE( CONTROL!$C$32, 12.9662, 12.9651) * CHOOSE(CONTROL!$C$15, $D$11, 100%, $F$11)</f>
        <v>12.966200000000001</v>
      </c>
      <c r="G425" s="8">
        <f>CHOOSE( CONTROL!$C$32, 12.159, 12.1579) * CHOOSE( CONTROL!$C$15, $D$11, 100%, $F$11)</f>
        <v>12.159000000000001</v>
      </c>
      <c r="H425" s="4">
        <f>CHOOSE( CONTROL!$C$32, 13.061, 13.0599) * CHOOSE(CONTROL!$C$15, $D$11, 100%, $F$11)</f>
        <v>13.061</v>
      </c>
      <c r="I425" s="8">
        <f>CHOOSE( CONTROL!$C$32, 12.0826, 12.0816) * CHOOSE(CONTROL!$C$15, $D$11, 100%, $F$11)</f>
        <v>12.082599999999999</v>
      </c>
      <c r="J425" s="4">
        <f>CHOOSE( CONTROL!$C$32, 11.9293, 11.9283) * CHOOSE(CONTROL!$C$15, $D$11, 100%, $F$11)</f>
        <v>11.9293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20.201499999999999</v>
      </c>
      <c r="R425" s="9"/>
      <c r="S425" s="11"/>
    </row>
    <row r="426" spans="1:19" ht="15.75">
      <c r="A426" s="13">
        <v>54116</v>
      </c>
      <c r="B426" s="8">
        <f>CHOOSE( CONTROL!$C$32, 11.5064, 11.5053) * CHOOSE(CONTROL!$C$15, $D$11, 100%, $F$11)</f>
        <v>11.506399999999999</v>
      </c>
      <c r="C426" s="8">
        <f>CHOOSE( CONTROL!$C$32, 11.5114, 11.5103) * CHOOSE(CONTROL!$C$15, $D$11, 100%, $F$11)</f>
        <v>11.5114</v>
      </c>
      <c r="D426" s="8">
        <f>CHOOSE( CONTROL!$C$32, 11.49, 11.4889) * CHOOSE( CONTROL!$C$15, $D$11, 100%, $F$11)</f>
        <v>11.49</v>
      </c>
      <c r="E426" s="12">
        <f>CHOOSE( CONTROL!$C$32, 11.4973, 11.4962) * CHOOSE( CONTROL!$C$15, $D$11, 100%, $F$11)</f>
        <v>11.497299999999999</v>
      </c>
      <c r="F426" s="4">
        <f>CHOOSE( CONTROL!$C$32, 12.1716, 12.1706) * CHOOSE(CONTROL!$C$15, $D$11, 100%, $F$11)</f>
        <v>12.1716</v>
      </c>
      <c r="G426" s="8">
        <f>CHOOSE( CONTROL!$C$32, 11.3736, 11.3726) * CHOOSE( CONTROL!$C$15, $D$11, 100%, $F$11)</f>
        <v>11.3736</v>
      </c>
      <c r="H426" s="4">
        <f>CHOOSE( CONTROL!$C$32, 12.2757, 12.2747) * CHOOSE(CONTROL!$C$15, $D$11, 100%, $F$11)</f>
        <v>12.275700000000001</v>
      </c>
      <c r="I426" s="8">
        <f>CHOOSE( CONTROL!$C$32, 11.3107, 11.3096) * CHOOSE(CONTROL!$C$15, $D$11, 100%, $F$11)</f>
        <v>11.310700000000001</v>
      </c>
      <c r="J426" s="4">
        <f>CHOOSE( CONTROL!$C$32, 11.1582, 11.1571) * CHOOSE(CONTROL!$C$15, $D$11, 100%, $F$11)</f>
        <v>11.158200000000001</v>
      </c>
      <c r="K426" s="4"/>
      <c r="L426" s="9">
        <v>27.415299999999998</v>
      </c>
      <c r="M426" s="9">
        <v>11.285299999999999</v>
      </c>
      <c r="N426" s="9">
        <v>4.6254999999999997</v>
      </c>
      <c r="O426" s="9">
        <v>0.34989999999999999</v>
      </c>
      <c r="P426" s="9">
        <v>1.2093</v>
      </c>
      <c r="Q426" s="9">
        <v>18.898099999999999</v>
      </c>
      <c r="R426" s="9"/>
      <c r="S426" s="11"/>
    </row>
    <row r="427" spans="1:19" ht="15.75">
      <c r="A427" s="13">
        <v>54148</v>
      </c>
      <c r="B427" s="8">
        <f>CHOOSE( CONTROL!$C$32, 11.2616, 11.2605) * CHOOSE(CONTROL!$C$15, $D$11, 100%, $F$11)</f>
        <v>11.2616</v>
      </c>
      <c r="C427" s="8">
        <f>CHOOSE( CONTROL!$C$32, 11.2667, 11.2656) * CHOOSE(CONTROL!$C$15, $D$11, 100%, $F$11)</f>
        <v>11.2667</v>
      </c>
      <c r="D427" s="8">
        <f>CHOOSE( CONTROL!$C$32, 11.2446, 11.2436) * CHOOSE( CONTROL!$C$15, $D$11, 100%, $F$11)</f>
        <v>11.2446</v>
      </c>
      <c r="E427" s="12">
        <f>CHOOSE( CONTROL!$C$32, 11.2521, 11.2511) * CHOOSE( CONTROL!$C$15, $D$11, 100%, $F$11)</f>
        <v>11.2521</v>
      </c>
      <c r="F427" s="4">
        <f>CHOOSE( CONTROL!$C$32, 11.9269, 11.9258) * CHOOSE(CONTROL!$C$15, $D$11, 100%, $F$11)</f>
        <v>11.9269</v>
      </c>
      <c r="G427" s="8">
        <f>CHOOSE( CONTROL!$C$32, 11.1313, 11.1302) * CHOOSE( CONTROL!$C$15, $D$11, 100%, $F$11)</f>
        <v>11.1313</v>
      </c>
      <c r="H427" s="4">
        <f>CHOOSE( CONTROL!$C$32, 12.0339, 12.0328) * CHOOSE(CONTROL!$C$15, $D$11, 100%, $F$11)</f>
        <v>12.033899999999999</v>
      </c>
      <c r="I427" s="8">
        <f>CHOOSE( CONTROL!$C$32, 11.0711, 11.07) * CHOOSE(CONTROL!$C$15, $D$11, 100%, $F$11)</f>
        <v>11.071099999999999</v>
      </c>
      <c r="J427" s="4">
        <f>CHOOSE( CONTROL!$C$32, 10.9207, 10.9196) * CHOOSE(CONTROL!$C$15, $D$11, 100%, $F$11)</f>
        <v>10.9207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20.201499999999999</v>
      </c>
      <c r="R427" s="9"/>
      <c r="S427" s="11"/>
    </row>
    <row r="428" spans="1:19" ht="15.75">
      <c r="A428" s="13">
        <v>54178</v>
      </c>
      <c r="B428" s="8">
        <f>CHOOSE( CONTROL!$C$32, 11.4334, 11.4323) * CHOOSE(CONTROL!$C$15, $D$11, 100%, $F$11)</f>
        <v>11.433400000000001</v>
      </c>
      <c r="C428" s="8">
        <f>CHOOSE( CONTROL!$C$32, 11.4379, 11.4368) * CHOOSE(CONTROL!$C$15, $D$11, 100%, $F$11)</f>
        <v>11.437900000000001</v>
      </c>
      <c r="D428" s="8">
        <f>CHOOSE( CONTROL!$C$32, 11.4408, 11.4397) * CHOOSE( CONTROL!$C$15, $D$11, 100%, $F$11)</f>
        <v>11.440799999999999</v>
      </c>
      <c r="E428" s="12">
        <f>CHOOSE( CONTROL!$C$32, 11.4393, 11.4382) * CHOOSE( CONTROL!$C$15, $D$11, 100%, $F$11)</f>
        <v>11.439299999999999</v>
      </c>
      <c r="F428" s="4">
        <f>CHOOSE( CONTROL!$C$32, 12.1417, 12.1406) * CHOOSE(CONTROL!$C$15, $D$11, 100%, $F$11)</f>
        <v>12.1417</v>
      </c>
      <c r="G428" s="8">
        <f>CHOOSE( CONTROL!$C$32, 11.3108, 11.3097) * CHOOSE( CONTROL!$C$15, $D$11, 100%, $F$11)</f>
        <v>11.3108</v>
      </c>
      <c r="H428" s="4">
        <f>CHOOSE( CONTROL!$C$32, 12.2462, 12.2451) * CHOOSE(CONTROL!$C$15, $D$11, 100%, $F$11)</f>
        <v>12.2462</v>
      </c>
      <c r="I428" s="8">
        <f>CHOOSE( CONTROL!$C$32, 11.2094, 11.2083) * CHOOSE(CONTROL!$C$15, $D$11, 100%, $F$11)</f>
        <v>11.2094</v>
      </c>
      <c r="J428" s="4">
        <f>CHOOSE( CONTROL!$C$32, 11.0866, 11.0856) * CHOOSE(CONTROL!$C$15, $D$11, 100%, $F$11)</f>
        <v>11.086600000000001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1.2509999999999999</v>
      </c>
      <c r="Q428" s="9">
        <v>19.549800000000001</v>
      </c>
      <c r="R428" s="9"/>
      <c r="S428" s="11"/>
    </row>
    <row r="429" spans="1:19" ht="15.75">
      <c r="A429" s="13">
        <v>54209</v>
      </c>
      <c r="B429" s="8">
        <f>CHOOSE( CONTROL!$C$32, 11.7397, 11.738) * CHOOSE(CONTROL!$C$15, $D$11, 100%, $F$11)</f>
        <v>11.739699999999999</v>
      </c>
      <c r="C429" s="8">
        <f>CHOOSE( CONTROL!$C$32, 11.7477, 11.746) * CHOOSE(CONTROL!$C$15, $D$11, 100%, $F$11)</f>
        <v>11.7477</v>
      </c>
      <c r="D429" s="8">
        <f>CHOOSE( CONTROL!$C$32, 11.7444, 11.7428) * CHOOSE( CONTROL!$C$15, $D$11, 100%, $F$11)</f>
        <v>11.744400000000001</v>
      </c>
      <c r="E429" s="12">
        <f>CHOOSE( CONTROL!$C$32, 11.7444, 11.7427) * CHOOSE( CONTROL!$C$15, $D$11, 100%, $F$11)</f>
        <v>11.744400000000001</v>
      </c>
      <c r="F429" s="4">
        <f>CHOOSE( CONTROL!$C$32, 12.4466, 12.445) * CHOOSE(CONTROL!$C$15, $D$11, 100%, $F$11)</f>
        <v>12.4466</v>
      </c>
      <c r="G429" s="8">
        <f>CHOOSE( CONTROL!$C$32, 11.612, 11.6104) * CHOOSE( CONTROL!$C$15, $D$11, 100%, $F$11)</f>
        <v>11.612</v>
      </c>
      <c r="H429" s="4">
        <f>CHOOSE( CONTROL!$C$32, 12.5475, 12.5459) * CHOOSE(CONTROL!$C$15, $D$11, 100%, $F$11)</f>
        <v>12.547499999999999</v>
      </c>
      <c r="I429" s="8">
        <f>CHOOSE( CONTROL!$C$32, 11.5047, 11.5031) * CHOOSE(CONTROL!$C$15, $D$11, 100%, $F$11)</f>
        <v>11.5047</v>
      </c>
      <c r="J429" s="4">
        <f>CHOOSE( CONTROL!$C$32, 11.3826, 11.381) * CHOOSE(CONTROL!$C$15, $D$11, 100%, $F$11)</f>
        <v>11.3826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1.2927</v>
      </c>
      <c r="Q429" s="9">
        <v>20.201499999999999</v>
      </c>
      <c r="R429" s="9"/>
      <c r="S429" s="11"/>
    </row>
    <row r="430" spans="1:19" ht="15.75">
      <c r="A430" s="13">
        <v>54239</v>
      </c>
      <c r="B430" s="8">
        <f>CHOOSE( CONTROL!$C$32, 11.5512, 11.5495) * CHOOSE(CONTROL!$C$15, $D$11, 100%, $F$11)</f>
        <v>11.5512</v>
      </c>
      <c r="C430" s="8">
        <f>CHOOSE( CONTROL!$C$32, 11.5591, 11.5575) * CHOOSE(CONTROL!$C$15, $D$11, 100%, $F$11)</f>
        <v>11.559100000000001</v>
      </c>
      <c r="D430" s="8">
        <f>CHOOSE( CONTROL!$C$32, 11.5561, 11.5544) * CHOOSE( CONTROL!$C$15, $D$11, 100%, $F$11)</f>
        <v>11.556100000000001</v>
      </c>
      <c r="E430" s="12">
        <f>CHOOSE( CONTROL!$C$32, 11.556, 11.5543) * CHOOSE( CONTROL!$C$15, $D$11, 100%, $F$11)</f>
        <v>11.555999999999999</v>
      </c>
      <c r="F430" s="4">
        <f>CHOOSE( CONTROL!$C$32, 12.2581, 12.2564) * CHOOSE(CONTROL!$C$15, $D$11, 100%, $F$11)</f>
        <v>12.258100000000001</v>
      </c>
      <c r="G430" s="8">
        <f>CHOOSE( CONTROL!$C$32, 11.4259, 11.4242) * CHOOSE( CONTROL!$C$15, $D$11, 100%, $F$11)</f>
        <v>11.4259</v>
      </c>
      <c r="H430" s="4">
        <f>CHOOSE( CONTROL!$C$32, 12.3612, 12.3596) * CHOOSE(CONTROL!$C$15, $D$11, 100%, $F$11)</f>
        <v>12.3612</v>
      </c>
      <c r="I430" s="8">
        <f>CHOOSE( CONTROL!$C$32, 11.3224, 11.3208) * CHOOSE(CONTROL!$C$15, $D$11, 100%, $F$11)</f>
        <v>11.3224</v>
      </c>
      <c r="J430" s="4">
        <f>CHOOSE( CONTROL!$C$32, 11.1996, 11.198) * CHOOSE(CONTROL!$C$15, $D$11, 100%, $F$11)</f>
        <v>11.1996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1.2509999999999999</v>
      </c>
      <c r="Q430" s="9">
        <v>19.549800000000001</v>
      </c>
      <c r="R430" s="9"/>
      <c r="S430" s="11"/>
    </row>
    <row r="431" spans="1:19" ht="15.75">
      <c r="A431" s="13">
        <v>54270</v>
      </c>
      <c r="B431" s="8">
        <f>CHOOSE( CONTROL!$C$32, 12.0477, 12.046) * CHOOSE(CONTROL!$C$15, $D$11, 100%, $F$11)</f>
        <v>12.047700000000001</v>
      </c>
      <c r="C431" s="8">
        <f>CHOOSE( CONTROL!$C$32, 12.0556, 12.054) * CHOOSE(CONTROL!$C$15, $D$11, 100%, $F$11)</f>
        <v>12.0556</v>
      </c>
      <c r="D431" s="8">
        <f>CHOOSE( CONTROL!$C$32, 12.0528, 12.0512) * CHOOSE( CONTROL!$C$15, $D$11, 100%, $F$11)</f>
        <v>12.0528</v>
      </c>
      <c r="E431" s="12">
        <f>CHOOSE( CONTROL!$C$32, 12.0526, 12.051) * CHOOSE( CONTROL!$C$15, $D$11, 100%, $F$11)</f>
        <v>12.0526</v>
      </c>
      <c r="F431" s="4">
        <f>CHOOSE( CONTROL!$C$32, 12.7546, 12.7529) * CHOOSE(CONTROL!$C$15, $D$11, 100%, $F$11)</f>
        <v>12.7546</v>
      </c>
      <c r="G431" s="8">
        <f>CHOOSE( CONTROL!$C$32, 11.9167, 11.9151) * CHOOSE( CONTROL!$C$15, $D$11, 100%, $F$11)</f>
        <v>11.916700000000001</v>
      </c>
      <c r="H431" s="4">
        <f>CHOOSE( CONTROL!$C$32, 12.8519, 12.8502) * CHOOSE(CONTROL!$C$15, $D$11, 100%, $F$11)</f>
        <v>12.851900000000001</v>
      </c>
      <c r="I431" s="8">
        <f>CHOOSE( CONTROL!$C$32, 11.8054, 11.8038) * CHOOSE(CONTROL!$C$15, $D$11, 100%, $F$11)</f>
        <v>11.805400000000001</v>
      </c>
      <c r="J431" s="4">
        <f>CHOOSE( CONTROL!$C$32, 11.6814, 11.6798) * CHOOSE(CONTROL!$C$15, $D$11, 100%, $F$11)</f>
        <v>11.6814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1.2927</v>
      </c>
      <c r="Q431" s="9">
        <v>20.201499999999999</v>
      </c>
      <c r="R431" s="9"/>
      <c r="S431" s="11"/>
    </row>
    <row r="432" spans="1:19" ht="15.75">
      <c r="A432" s="13">
        <v>54301</v>
      </c>
      <c r="B432" s="8">
        <f>CHOOSE( CONTROL!$C$32, 11.1187, 11.117) * CHOOSE(CONTROL!$C$15, $D$11, 100%, $F$11)</f>
        <v>11.1187</v>
      </c>
      <c r="C432" s="8">
        <f>CHOOSE( CONTROL!$C$32, 11.1266, 11.125) * CHOOSE(CONTROL!$C$15, $D$11, 100%, $F$11)</f>
        <v>11.1266</v>
      </c>
      <c r="D432" s="8">
        <f>CHOOSE( CONTROL!$C$32, 11.1239, 11.1223) * CHOOSE( CONTROL!$C$15, $D$11, 100%, $F$11)</f>
        <v>11.123900000000001</v>
      </c>
      <c r="E432" s="12">
        <f>CHOOSE( CONTROL!$C$32, 11.1237, 11.1221) * CHOOSE( CONTROL!$C$15, $D$11, 100%, $F$11)</f>
        <v>11.123699999999999</v>
      </c>
      <c r="F432" s="4">
        <f>CHOOSE( CONTROL!$C$32, 11.8256, 11.8239) * CHOOSE(CONTROL!$C$15, $D$11, 100%, $F$11)</f>
        <v>11.8256</v>
      </c>
      <c r="G432" s="8">
        <f>CHOOSE( CONTROL!$C$32, 10.9987, 10.9971) * CHOOSE( CONTROL!$C$15, $D$11, 100%, $F$11)</f>
        <v>10.998699999999999</v>
      </c>
      <c r="H432" s="4">
        <f>CHOOSE( CONTROL!$C$32, 11.9338, 11.9321) * CHOOSE(CONTROL!$C$15, $D$11, 100%, $F$11)</f>
        <v>11.9338</v>
      </c>
      <c r="I432" s="8">
        <f>CHOOSE( CONTROL!$C$32, 10.9037, 10.9021) * CHOOSE(CONTROL!$C$15, $D$11, 100%, $F$11)</f>
        <v>10.903700000000001</v>
      </c>
      <c r="J432" s="4">
        <f>CHOOSE( CONTROL!$C$32, 10.7798, 10.7782) * CHOOSE(CONTROL!$C$15, $D$11, 100%, $F$11)</f>
        <v>10.7798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1.2927</v>
      </c>
      <c r="Q432" s="9">
        <v>20.201499999999999</v>
      </c>
      <c r="R432" s="9"/>
      <c r="S432" s="11"/>
    </row>
    <row r="433" spans="1:19" ht="15.75">
      <c r="A433" s="13">
        <v>54331</v>
      </c>
      <c r="B433" s="8">
        <f>CHOOSE( CONTROL!$C$32, 10.886, 10.8844) * CHOOSE(CONTROL!$C$15, $D$11, 100%, $F$11)</f>
        <v>10.885999999999999</v>
      </c>
      <c r="C433" s="8">
        <f>CHOOSE( CONTROL!$C$32, 10.894, 10.8923) * CHOOSE(CONTROL!$C$15, $D$11, 100%, $F$11)</f>
        <v>10.894</v>
      </c>
      <c r="D433" s="8">
        <f>CHOOSE( CONTROL!$C$32, 10.8913, 10.8896) * CHOOSE( CONTROL!$C$15, $D$11, 100%, $F$11)</f>
        <v>10.891299999999999</v>
      </c>
      <c r="E433" s="12">
        <f>CHOOSE( CONTROL!$C$32, 10.8911, 10.8894) * CHOOSE( CONTROL!$C$15, $D$11, 100%, $F$11)</f>
        <v>10.8911</v>
      </c>
      <c r="F433" s="4">
        <f>CHOOSE( CONTROL!$C$32, 11.593, 11.5913) * CHOOSE(CONTROL!$C$15, $D$11, 100%, $F$11)</f>
        <v>11.593</v>
      </c>
      <c r="G433" s="8">
        <f>CHOOSE( CONTROL!$C$32, 10.7688, 10.7671) * CHOOSE( CONTROL!$C$15, $D$11, 100%, $F$11)</f>
        <v>10.768800000000001</v>
      </c>
      <c r="H433" s="4">
        <f>CHOOSE( CONTROL!$C$32, 11.7038, 11.7022) * CHOOSE(CONTROL!$C$15, $D$11, 100%, $F$11)</f>
        <v>11.703799999999999</v>
      </c>
      <c r="I433" s="8">
        <f>CHOOSE( CONTROL!$C$32, 10.6776, 10.676) * CHOOSE(CONTROL!$C$15, $D$11, 100%, $F$11)</f>
        <v>10.6776</v>
      </c>
      <c r="J433" s="4">
        <f>CHOOSE( CONTROL!$C$32, 10.5541, 10.5525) * CHOOSE(CONTROL!$C$15, $D$11, 100%, $F$11)</f>
        <v>10.5541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1.2509999999999999</v>
      </c>
      <c r="Q433" s="9">
        <v>19.549800000000001</v>
      </c>
      <c r="R433" s="9"/>
      <c r="S433" s="11"/>
    </row>
    <row r="434" spans="1:19" ht="15.75">
      <c r="A434" s="13">
        <v>54362</v>
      </c>
      <c r="B434" s="8">
        <f>CHOOSE( CONTROL!$C$32, 11.3668, 11.3657) * CHOOSE(CONTROL!$C$15, $D$11, 100%, $F$11)</f>
        <v>11.3668</v>
      </c>
      <c r="C434" s="8">
        <f>CHOOSE( CONTROL!$C$32, 11.3721, 11.371) * CHOOSE(CONTROL!$C$15, $D$11, 100%, $F$11)</f>
        <v>11.3721</v>
      </c>
      <c r="D434" s="8">
        <f>CHOOSE( CONTROL!$C$32, 11.375, 11.3739) * CHOOSE( CONTROL!$C$15, $D$11, 100%, $F$11)</f>
        <v>11.375</v>
      </c>
      <c r="E434" s="12">
        <f>CHOOSE( CONTROL!$C$32, 11.3735, 11.3724) * CHOOSE( CONTROL!$C$15, $D$11, 100%, $F$11)</f>
        <v>11.3735</v>
      </c>
      <c r="F434" s="4">
        <f>CHOOSE( CONTROL!$C$32, 12.0754, 12.0743) * CHOOSE(CONTROL!$C$15, $D$11, 100%, $F$11)</f>
        <v>12.0754</v>
      </c>
      <c r="G434" s="8">
        <f>CHOOSE( CONTROL!$C$32, 11.2457, 11.2446) * CHOOSE( CONTROL!$C$15, $D$11, 100%, $F$11)</f>
        <v>11.245699999999999</v>
      </c>
      <c r="H434" s="4">
        <f>CHOOSE( CONTROL!$C$32, 12.1806, 12.1796) * CHOOSE(CONTROL!$C$15, $D$11, 100%, $F$11)</f>
        <v>12.1806</v>
      </c>
      <c r="I434" s="8">
        <f>CHOOSE( CONTROL!$C$32, 11.1469, 11.1458) * CHOOSE(CONTROL!$C$15, $D$11, 100%, $F$11)</f>
        <v>11.1469</v>
      </c>
      <c r="J434" s="4">
        <f>CHOOSE( CONTROL!$C$32, 11.0223, 11.0212) * CHOOSE(CONTROL!$C$15, $D$11, 100%, $F$11)</f>
        <v>11.0223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1.2927</v>
      </c>
      <c r="Q434" s="9">
        <v>20.201499999999999</v>
      </c>
      <c r="R434" s="9"/>
      <c r="S434" s="11"/>
    </row>
    <row r="435" spans="1:19" ht="15.75">
      <c r="A435" s="13">
        <v>54392</v>
      </c>
      <c r="B435" s="8">
        <f>CHOOSE( CONTROL!$C$32, 12.2579, 12.2568) * CHOOSE(CONTROL!$C$15, $D$11, 100%, $F$11)</f>
        <v>12.257899999999999</v>
      </c>
      <c r="C435" s="8">
        <f>CHOOSE( CONTROL!$C$32, 12.263, 12.2619) * CHOOSE(CONTROL!$C$15, $D$11, 100%, $F$11)</f>
        <v>12.263</v>
      </c>
      <c r="D435" s="8">
        <f>CHOOSE( CONTROL!$C$32, 12.2452, 12.2441) * CHOOSE( CONTROL!$C$15, $D$11, 100%, $F$11)</f>
        <v>12.245200000000001</v>
      </c>
      <c r="E435" s="12">
        <f>CHOOSE( CONTROL!$C$32, 12.2512, 12.2501) * CHOOSE( CONTROL!$C$15, $D$11, 100%, $F$11)</f>
        <v>12.251200000000001</v>
      </c>
      <c r="F435" s="4">
        <f>CHOOSE( CONTROL!$C$32, 12.9232, 12.9221) * CHOOSE(CONTROL!$C$15, $D$11, 100%, $F$11)</f>
        <v>12.9232</v>
      </c>
      <c r="G435" s="8">
        <f>CHOOSE( CONTROL!$C$32, 12.1259, 12.1249) * CHOOSE( CONTROL!$C$15, $D$11, 100%, $F$11)</f>
        <v>12.1259</v>
      </c>
      <c r="H435" s="4">
        <f>CHOOSE( CONTROL!$C$32, 13.0185, 13.0174) * CHOOSE(CONTROL!$C$15, $D$11, 100%, $F$11)</f>
        <v>13.0185</v>
      </c>
      <c r="I435" s="8">
        <f>CHOOSE( CONTROL!$C$32, 12.0743, 12.0733) * CHOOSE(CONTROL!$C$15, $D$11, 100%, $F$11)</f>
        <v>12.074299999999999</v>
      </c>
      <c r="J435" s="4">
        <f>CHOOSE( CONTROL!$C$32, 11.8876, 11.8865) * CHOOSE(CONTROL!$C$15, $D$11, 100%, $F$11)</f>
        <v>11.887600000000001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19.549800000000001</v>
      </c>
      <c r="R435" s="9"/>
      <c r="S435" s="11"/>
    </row>
    <row r="436" spans="1:19" ht="15.75">
      <c r="A436" s="13">
        <v>54423</v>
      </c>
      <c r="B436" s="8">
        <f>CHOOSE( CONTROL!$C$32, 12.2356, 12.2346) * CHOOSE(CONTROL!$C$15, $D$11, 100%, $F$11)</f>
        <v>12.2356</v>
      </c>
      <c r="C436" s="8">
        <f>CHOOSE( CONTROL!$C$32, 12.2407, 12.2396) * CHOOSE(CONTROL!$C$15, $D$11, 100%, $F$11)</f>
        <v>12.2407</v>
      </c>
      <c r="D436" s="8">
        <f>CHOOSE( CONTROL!$C$32, 12.2243, 12.2232) * CHOOSE( CONTROL!$C$15, $D$11, 100%, $F$11)</f>
        <v>12.224299999999999</v>
      </c>
      <c r="E436" s="12">
        <f>CHOOSE( CONTROL!$C$32, 12.2298, 12.2287) * CHOOSE( CONTROL!$C$15, $D$11, 100%, $F$11)</f>
        <v>12.229799999999999</v>
      </c>
      <c r="F436" s="4">
        <f>CHOOSE( CONTROL!$C$32, 12.9009, 12.8998) * CHOOSE(CONTROL!$C$15, $D$11, 100%, $F$11)</f>
        <v>12.9009</v>
      </c>
      <c r="G436" s="8">
        <f>CHOOSE( CONTROL!$C$32, 12.105, 12.1039) * CHOOSE( CONTROL!$C$15, $D$11, 100%, $F$11)</f>
        <v>12.105</v>
      </c>
      <c r="H436" s="4">
        <f>CHOOSE( CONTROL!$C$32, 12.9965, 12.9954) * CHOOSE(CONTROL!$C$15, $D$11, 100%, $F$11)</f>
        <v>12.996499999999999</v>
      </c>
      <c r="I436" s="8">
        <f>CHOOSE( CONTROL!$C$32, 12.0572, 12.0561) * CHOOSE(CONTROL!$C$15, $D$11, 100%, $F$11)</f>
        <v>12.0572</v>
      </c>
      <c r="J436" s="4">
        <f>CHOOSE( CONTROL!$C$32, 11.8659, 11.8649) * CHOOSE(CONTROL!$C$15, $D$11, 100%, $F$11)</f>
        <v>11.8659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20.201499999999999</v>
      </c>
      <c r="R436" s="9"/>
      <c r="S436" s="11"/>
    </row>
    <row r="437" spans="1:19" ht="15.75">
      <c r="A437" s="13">
        <v>54454</v>
      </c>
      <c r="B437" s="8">
        <f>CHOOSE( CONTROL!$C$32, 12.5963, 12.5952) * CHOOSE(CONTROL!$C$15, $D$11, 100%, $F$11)</f>
        <v>12.596299999999999</v>
      </c>
      <c r="C437" s="8">
        <f>CHOOSE( CONTROL!$C$32, 12.6013, 12.6002) * CHOOSE(CONTROL!$C$15, $D$11, 100%, $F$11)</f>
        <v>12.6013</v>
      </c>
      <c r="D437" s="8">
        <f>CHOOSE( CONTROL!$C$32, 12.58, 12.579) * CHOOSE( CONTROL!$C$15, $D$11, 100%, $F$11)</f>
        <v>12.58</v>
      </c>
      <c r="E437" s="12">
        <f>CHOOSE( CONTROL!$C$32, 12.5873, 12.5862) * CHOOSE( CONTROL!$C$15, $D$11, 100%, $F$11)</f>
        <v>12.587300000000001</v>
      </c>
      <c r="F437" s="4">
        <f>CHOOSE( CONTROL!$C$32, 13.2615, 13.2605) * CHOOSE(CONTROL!$C$15, $D$11, 100%, $F$11)</f>
        <v>13.2615</v>
      </c>
      <c r="G437" s="8">
        <f>CHOOSE( CONTROL!$C$32, 12.4509, 12.4498) * CHOOSE( CONTROL!$C$15, $D$11, 100%, $F$11)</f>
        <v>12.450900000000001</v>
      </c>
      <c r="H437" s="4">
        <f>CHOOSE( CONTROL!$C$32, 13.3529, 13.3518) * CHOOSE(CONTROL!$C$15, $D$11, 100%, $F$11)</f>
        <v>13.3529</v>
      </c>
      <c r="I437" s="8">
        <f>CHOOSE( CONTROL!$C$32, 12.3694, 12.3683) * CHOOSE(CONTROL!$C$15, $D$11, 100%, $F$11)</f>
        <v>12.369400000000001</v>
      </c>
      <c r="J437" s="4">
        <f>CHOOSE( CONTROL!$C$32, 12.2159, 12.2149) * CHOOSE(CONTROL!$C$15, $D$11, 100%, $F$11)</f>
        <v>12.2159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20.136399999999998</v>
      </c>
      <c r="R437" s="9"/>
      <c r="S437" s="11"/>
    </row>
    <row r="438" spans="1:19" ht="15.75">
      <c r="A438" s="13">
        <v>54482</v>
      </c>
      <c r="B438" s="8">
        <f>CHOOSE( CONTROL!$C$32, 11.7826, 11.7815) * CHOOSE(CONTROL!$C$15, $D$11, 100%, $F$11)</f>
        <v>11.7826</v>
      </c>
      <c r="C438" s="8">
        <f>CHOOSE( CONTROL!$C$32, 11.7877, 11.7866) * CHOOSE(CONTROL!$C$15, $D$11, 100%, $F$11)</f>
        <v>11.787699999999999</v>
      </c>
      <c r="D438" s="8">
        <f>CHOOSE( CONTROL!$C$32, 11.7662, 11.7652) * CHOOSE( CONTROL!$C$15, $D$11, 100%, $F$11)</f>
        <v>11.7662</v>
      </c>
      <c r="E438" s="12">
        <f>CHOOSE( CONTROL!$C$32, 11.7735, 11.7725) * CHOOSE( CONTROL!$C$15, $D$11, 100%, $F$11)</f>
        <v>11.7735</v>
      </c>
      <c r="F438" s="4">
        <f>CHOOSE( CONTROL!$C$32, 12.4479, 12.4468) * CHOOSE(CONTROL!$C$15, $D$11, 100%, $F$11)</f>
        <v>12.447900000000001</v>
      </c>
      <c r="G438" s="8">
        <f>CHOOSE( CONTROL!$C$32, 11.6466, 11.6456) * CHOOSE( CONTROL!$C$15, $D$11, 100%, $F$11)</f>
        <v>11.646599999999999</v>
      </c>
      <c r="H438" s="4">
        <f>CHOOSE( CONTROL!$C$32, 12.5487, 12.5477) * CHOOSE(CONTROL!$C$15, $D$11, 100%, $F$11)</f>
        <v>12.5487</v>
      </c>
      <c r="I438" s="8">
        <f>CHOOSE( CONTROL!$C$32, 11.5789, 11.5778) * CHOOSE(CONTROL!$C$15, $D$11, 100%, $F$11)</f>
        <v>11.578900000000001</v>
      </c>
      <c r="J438" s="4">
        <f>CHOOSE( CONTROL!$C$32, 11.4262, 11.4252) * CHOOSE(CONTROL!$C$15, $D$11, 100%, $F$11)</f>
        <v>11.4262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18.1877</v>
      </c>
      <c r="R438" s="9"/>
      <c r="S438" s="11"/>
    </row>
    <row r="439" spans="1:19" ht="15.75">
      <c r="A439" s="13">
        <v>54513</v>
      </c>
      <c r="B439" s="8">
        <f>CHOOSE( CONTROL!$C$32, 11.532, 11.5309) * CHOOSE(CONTROL!$C$15, $D$11, 100%, $F$11)</f>
        <v>11.532</v>
      </c>
      <c r="C439" s="8">
        <f>CHOOSE( CONTROL!$C$32, 11.537, 11.536) * CHOOSE(CONTROL!$C$15, $D$11, 100%, $F$11)</f>
        <v>11.537000000000001</v>
      </c>
      <c r="D439" s="8">
        <f>CHOOSE( CONTROL!$C$32, 11.515, 11.5139) * CHOOSE( CONTROL!$C$15, $D$11, 100%, $F$11)</f>
        <v>11.515000000000001</v>
      </c>
      <c r="E439" s="12">
        <f>CHOOSE( CONTROL!$C$32, 11.5225, 11.5214) * CHOOSE( CONTROL!$C$15, $D$11, 100%, $F$11)</f>
        <v>11.522500000000001</v>
      </c>
      <c r="F439" s="4">
        <f>CHOOSE( CONTROL!$C$32, 12.1973, 12.1962) * CHOOSE(CONTROL!$C$15, $D$11, 100%, $F$11)</f>
        <v>12.1973</v>
      </c>
      <c r="G439" s="8">
        <f>CHOOSE( CONTROL!$C$32, 11.3985, 11.3974) * CHOOSE( CONTROL!$C$15, $D$11, 100%, $F$11)</f>
        <v>11.3985</v>
      </c>
      <c r="H439" s="4">
        <f>CHOOSE( CONTROL!$C$32, 12.3011, 12.3) * CHOOSE(CONTROL!$C$15, $D$11, 100%, $F$11)</f>
        <v>12.3011</v>
      </c>
      <c r="I439" s="8">
        <f>CHOOSE( CONTROL!$C$32, 11.3336, 11.3325) * CHOOSE(CONTROL!$C$15, $D$11, 100%, $F$11)</f>
        <v>11.333600000000001</v>
      </c>
      <c r="J439" s="4">
        <f>CHOOSE( CONTROL!$C$32, 11.183, 11.182) * CHOOSE(CONTROL!$C$15, $D$11, 100%, $F$11)</f>
        <v>11.183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20.136399999999998</v>
      </c>
      <c r="R439" s="9"/>
      <c r="S439" s="11"/>
    </row>
    <row r="440" spans="1:19" ht="15.75">
      <c r="A440" s="13">
        <v>54543</v>
      </c>
      <c r="B440" s="8">
        <f>CHOOSE( CONTROL!$C$32, 11.7079, 11.7068) * CHOOSE(CONTROL!$C$15, $D$11, 100%, $F$11)</f>
        <v>11.7079</v>
      </c>
      <c r="C440" s="8">
        <f>CHOOSE( CONTROL!$C$32, 11.7124, 11.7113) * CHOOSE(CONTROL!$C$15, $D$11, 100%, $F$11)</f>
        <v>11.712400000000001</v>
      </c>
      <c r="D440" s="8">
        <f>CHOOSE( CONTROL!$C$32, 11.7152, 11.7141) * CHOOSE( CONTROL!$C$15, $D$11, 100%, $F$11)</f>
        <v>11.715199999999999</v>
      </c>
      <c r="E440" s="12">
        <f>CHOOSE( CONTROL!$C$32, 11.7138, 11.7127) * CHOOSE( CONTROL!$C$15, $D$11, 100%, $F$11)</f>
        <v>11.713800000000001</v>
      </c>
      <c r="F440" s="4">
        <f>CHOOSE( CONTROL!$C$32, 12.4162, 12.4151) * CHOOSE(CONTROL!$C$15, $D$11, 100%, $F$11)</f>
        <v>12.4162</v>
      </c>
      <c r="G440" s="8">
        <f>CHOOSE( CONTROL!$C$32, 11.582, 11.581) * CHOOSE( CONTROL!$C$15, $D$11, 100%, $F$11)</f>
        <v>11.582000000000001</v>
      </c>
      <c r="H440" s="4">
        <f>CHOOSE( CONTROL!$C$32, 12.5174, 12.5163) * CHOOSE(CONTROL!$C$15, $D$11, 100%, $F$11)</f>
        <v>12.5174</v>
      </c>
      <c r="I440" s="8">
        <f>CHOOSE( CONTROL!$C$32, 11.4759, 11.4748) * CHOOSE(CONTROL!$C$15, $D$11, 100%, $F$11)</f>
        <v>11.475899999999999</v>
      </c>
      <c r="J440" s="4">
        <f>CHOOSE( CONTROL!$C$32, 11.353, 11.3519) * CHOOSE(CONTROL!$C$15, $D$11, 100%, $F$11)</f>
        <v>11.353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1.2509999999999999</v>
      </c>
      <c r="Q440" s="9">
        <v>19.486799999999999</v>
      </c>
      <c r="R440" s="9"/>
      <c r="S440" s="11"/>
    </row>
    <row r="441" spans="1:19" ht="15.75">
      <c r="A441" s="13">
        <v>54574</v>
      </c>
      <c r="B441" s="8">
        <f>CHOOSE( CONTROL!$C$32, 12.0215, 12.0198) * CHOOSE(CONTROL!$C$15, $D$11, 100%, $F$11)</f>
        <v>12.0215</v>
      </c>
      <c r="C441" s="8">
        <f>CHOOSE( CONTROL!$C$32, 12.0294, 12.0278) * CHOOSE(CONTROL!$C$15, $D$11, 100%, $F$11)</f>
        <v>12.029400000000001</v>
      </c>
      <c r="D441" s="8">
        <f>CHOOSE( CONTROL!$C$32, 12.0262, 12.0245) * CHOOSE( CONTROL!$C$15, $D$11, 100%, $F$11)</f>
        <v>12.026199999999999</v>
      </c>
      <c r="E441" s="12">
        <f>CHOOSE( CONTROL!$C$32, 12.0262, 12.0245) * CHOOSE( CONTROL!$C$15, $D$11, 100%, $F$11)</f>
        <v>12.026199999999999</v>
      </c>
      <c r="F441" s="4">
        <f>CHOOSE( CONTROL!$C$32, 12.7284, 12.7268) * CHOOSE(CONTROL!$C$15, $D$11, 100%, $F$11)</f>
        <v>12.728400000000001</v>
      </c>
      <c r="G441" s="8">
        <f>CHOOSE( CONTROL!$C$32, 11.8905, 11.8889) * CHOOSE( CONTROL!$C$15, $D$11, 100%, $F$11)</f>
        <v>11.890499999999999</v>
      </c>
      <c r="H441" s="4">
        <f>CHOOSE( CONTROL!$C$32, 12.826, 12.8244) * CHOOSE(CONTROL!$C$15, $D$11, 100%, $F$11)</f>
        <v>12.826000000000001</v>
      </c>
      <c r="I441" s="8">
        <f>CHOOSE( CONTROL!$C$32, 11.7783, 11.7767) * CHOOSE(CONTROL!$C$15, $D$11, 100%, $F$11)</f>
        <v>11.7783</v>
      </c>
      <c r="J441" s="4">
        <f>CHOOSE( CONTROL!$C$32, 11.656, 11.6544) * CHOOSE(CONTROL!$C$15, $D$11, 100%, $F$11)</f>
        <v>11.656000000000001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1.2927</v>
      </c>
      <c r="Q441" s="9">
        <v>20.136399999999998</v>
      </c>
      <c r="R441" s="9"/>
      <c r="S441" s="11"/>
    </row>
    <row r="442" spans="1:19" ht="15.75">
      <c r="A442" s="13">
        <v>54604</v>
      </c>
      <c r="B442" s="8">
        <f>CHOOSE( CONTROL!$C$32, 11.8284, 11.8267) * CHOOSE(CONTROL!$C$15, $D$11, 100%, $F$11)</f>
        <v>11.8284</v>
      </c>
      <c r="C442" s="8">
        <f>CHOOSE( CONTROL!$C$32, 11.8364, 11.8347) * CHOOSE(CONTROL!$C$15, $D$11, 100%, $F$11)</f>
        <v>11.836399999999999</v>
      </c>
      <c r="D442" s="8">
        <f>CHOOSE( CONTROL!$C$32, 11.8333, 11.8317) * CHOOSE( CONTROL!$C$15, $D$11, 100%, $F$11)</f>
        <v>11.833299999999999</v>
      </c>
      <c r="E442" s="12">
        <f>CHOOSE( CONTROL!$C$32, 11.8332, 11.8316) * CHOOSE( CONTROL!$C$15, $D$11, 100%, $F$11)</f>
        <v>11.8332</v>
      </c>
      <c r="F442" s="4">
        <f>CHOOSE( CONTROL!$C$32, 12.5353, 12.5337) * CHOOSE(CONTROL!$C$15, $D$11, 100%, $F$11)</f>
        <v>12.535299999999999</v>
      </c>
      <c r="G442" s="8">
        <f>CHOOSE( CONTROL!$C$32, 11.6999, 11.6982) * CHOOSE( CONTROL!$C$15, $D$11, 100%, $F$11)</f>
        <v>11.6999</v>
      </c>
      <c r="H442" s="4">
        <f>CHOOSE( CONTROL!$C$32, 12.6352, 12.6335) * CHOOSE(CONTROL!$C$15, $D$11, 100%, $F$11)</f>
        <v>12.635199999999999</v>
      </c>
      <c r="I442" s="8">
        <f>CHOOSE( CONTROL!$C$32, 11.5916, 11.59) * CHOOSE(CONTROL!$C$15, $D$11, 100%, $F$11)</f>
        <v>11.5916</v>
      </c>
      <c r="J442" s="4">
        <f>CHOOSE( CONTROL!$C$32, 11.4686, 11.467) * CHOOSE(CONTROL!$C$15, $D$11, 100%, $F$11)</f>
        <v>11.4686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1.2509999999999999</v>
      </c>
      <c r="Q442" s="9">
        <v>19.486799999999999</v>
      </c>
      <c r="R442" s="9"/>
      <c r="S442" s="11"/>
    </row>
    <row r="443" spans="1:19" ht="15.75">
      <c r="A443" s="13">
        <v>54635</v>
      </c>
      <c r="B443" s="8">
        <f>CHOOSE( CONTROL!$C$32, 12.3368, 12.3352) * CHOOSE(CONTROL!$C$15, $D$11, 100%, $F$11)</f>
        <v>12.3368</v>
      </c>
      <c r="C443" s="8">
        <f>CHOOSE( CONTROL!$C$32, 12.3448, 12.3431) * CHOOSE(CONTROL!$C$15, $D$11, 100%, $F$11)</f>
        <v>12.344799999999999</v>
      </c>
      <c r="D443" s="8">
        <f>CHOOSE( CONTROL!$C$32, 12.342, 12.3403) * CHOOSE( CONTROL!$C$15, $D$11, 100%, $F$11)</f>
        <v>12.342000000000001</v>
      </c>
      <c r="E443" s="12">
        <f>CHOOSE( CONTROL!$C$32, 12.3418, 12.3401) * CHOOSE( CONTROL!$C$15, $D$11, 100%, $F$11)</f>
        <v>12.341799999999999</v>
      </c>
      <c r="F443" s="4">
        <f>CHOOSE( CONTROL!$C$32, 13.0438, 13.0421) * CHOOSE(CONTROL!$C$15, $D$11, 100%, $F$11)</f>
        <v>13.043799999999999</v>
      </c>
      <c r="G443" s="8">
        <f>CHOOSE( CONTROL!$C$32, 12.2025, 12.2009) * CHOOSE( CONTROL!$C$15, $D$11, 100%, $F$11)</f>
        <v>12.202500000000001</v>
      </c>
      <c r="H443" s="4">
        <f>CHOOSE( CONTROL!$C$32, 13.1377, 13.136) * CHOOSE(CONTROL!$C$15, $D$11, 100%, $F$11)</f>
        <v>13.137700000000001</v>
      </c>
      <c r="I443" s="8">
        <f>CHOOSE( CONTROL!$C$32, 12.0861, 12.0845) * CHOOSE(CONTROL!$C$15, $D$11, 100%, $F$11)</f>
        <v>12.0861</v>
      </c>
      <c r="J443" s="4">
        <f>CHOOSE( CONTROL!$C$32, 11.9621, 11.9605) * CHOOSE(CONTROL!$C$15, $D$11, 100%, $F$11)</f>
        <v>11.9621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1.2927</v>
      </c>
      <c r="Q443" s="9">
        <v>20.136399999999998</v>
      </c>
      <c r="R443" s="9"/>
      <c r="S443" s="11"/>
    </row>
    <row r="444" spans="1:19" ht="15.75">
      <c r="A444" s="13">
        <v>54666</v>
      </c>
      <c r="B444" s="8">
        <f>CHOOSE( CONTROL!$C$32, 11.3855, 11.3838) * CHOOSE(CONTROL!$C$15, $D$11, 100%, $F$11)</f>
        <v>11.3855</v>
      </c>
      <c r="C444" s="8">
        <f>CHOOSE( CONTROL!$C$32, 11.3935, 11.3918) * CHOOSE(CONTROL!$C$15, $D$11, 100%, $F$11)</f>
        <v>11.3935</v>
      </c>
      <c r="D444" s="8">
        <f>CHOOSE( CONTROL!$C$32, 11.3908, 11.3891) * CHOOSE( CONTROL!$C$15, $D$11, 100%, $F$11)</f>
        <v>11.3908</v>
      </c>
      <c r="E444" s="12">
        <f>CHOOSE( CONTROL!$C$32, 11.3906, 11.3889) * CHOOSE( CONTROL!$C$15, $D$11, 100%, $F$11)</f>
        <v>11.390599999999999</v>
      </c>
      <c r="F444" s="4">
        <f>CHOOSE( CONTROL!$C$32, 12.0924, 12.0908) * CHOOSE(CONTROL!$C$15, $D$11, 100%, $F$11)</f>
        <v>12.0924</v>
      </c>
      <c r="G444" s="8">
        <f>CHOOSE( CONTROL!$C$32, 11.2624, 11.2608) * CHOOSE( CONTROL!$C$15, $D$11, 100%, $F$11)</f>
        <v>11.2624</v>
      </c>
      <c r="H444" s="4">
        <f>CHOOSE( CONTROL!$C$32, 12.1975, 12.1958) * CHOOSE(CONTROL!$C$15, $D$11, 100%, $F$11)</f>
        <v>12.1975</v>
      </c>
      <c r="I444" s="8">
        <f>CHOOSE( CONTROL!$C$32, 11.1628, 11.1612) * CHOOSE(CONTROL!$C$15, $D$11, 100%, $F$11)</f>
        <v>11.162800000000001</v>
      </c>
      <c r="J444" s="4">
        <f>CHOOSE( CONTROL!$C$32, 11.0388, 11.0372) * CHOOSE(CONTROL!$C$15, $D$11, 100%, $F$11)</f>
        <v>11.0388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1.2927</v>
      </c>
      <c r="Q444" s="9">
        <v>20.136399999999998</v>
      </c>
      <c r="R444" s="9"/>
      <c r="S444" s="11"/>
    </row>
    <row r="445" spans="1:19" ht="15.75">
      <c r="A445" s="13">
        <v>54696</v>
      </c>
      <c r="B445" s="8">
        <f>CHOOSE( CONTROL!$C$32, 11.1473, 11.1456) * CHOOSE(CONTROL!$C$15, $D$11, 100%, $F$11)</f>
        <v>11.1473</v>
      </c>
      <c r="C445" s="8">
        <f>CHOOSE( CONTROL!$C$32, 11.1553, 11.1536) * CHOOSE(CONTROL!$C$15, $D$11, 100%, $F$11)</f>
        <v>11.1553</v>
      </c>
      <c r="D445" s="8">
        <f>CHOOSE( CONTROL!$C$32, 11.1525, 11.1509) * CHOOSE( CONTROL!$C$15, $D$11, 100%, $F$11)</f>
        <v>11.1525</v>
      </c>
      <c r="E445" s="12">
        <f>CHOOSE( CONTROL!$C$32, 11.1523, 11.1507) * CHOOSE( CONTROL!$C$15, $D$11, 100%, $F$11)</f>
        <v>11.1523</v>
      </c>
      <c r="F445" s="4">
        <f>CHOOSE( CONTROL!$C$32, 11.8542, 11.8526) * CHOOSE(CONTROL!$C$15, $D$11, 100%, $F$11)</f>
        <v>11.854200000000001</v>
      </c>
      <c r="G445" s="8">
        <f>CHOOSE( CONTROL!$C$32, 11.027, 11.0253) * CHOOSE( CONTROL!$C$15, $D$11, 100%, $F$11)</f>
        <v>11.026999999999999</v>
      </c>
      <c r="H445" s="4">
        <f>CHOOSE( CONTROL!$C$32, 11.962, 11.9604) * CHOOSE(CONTROL!$C$15, $D$11, 100%, $F$11)</f>
        <v>11.962</v>
      </c>
      <c r="I445" s="8">
        <f>CHOOSE( CONTROL!$C$32, 10.9313, 10.9297) * CHOOSE(CONTROL!$C$15, $D$11, 100%, $F$11)</f>
        <v>10.9313</v>
      </c>
      <c r="J445" s="4">
        <f>CHOOSE( CONTROL!$C$32, 10.8076, 10.806) * CHOOSE(CONTROL!$C$15, $D$11, 100%, $F$11)</f>
        <v>10.807600000000001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1.2509999999999999</v>
      </c>
      <c r="Q445" s="9">
        <v>19.486799999999999</v>
      </c>
      <c r="R445" s="9"/>
      <c r="S445" s="11"/>
    </row>
    <row r="446" spans="1:19" ht="15.75">
      <c r="A446" s="13">
        <v>54727</v>
      </c>
      <c r="B446" s="8">
        <f>CHOOSE( CONTROL!$C$32, 11.6396, 11.6385) * CHOOSE(CONTROL!$C$15, $D$11, 100%, $F$11)</f>
        <v>11.6396</v>
      </c>
      <c r="C446" s="8">
        <f>CHOOSE( CONTROL!$C$32, 11.6449, 11.6439) * CHOOSE(CONTROL!$C$15, $D$11, 100%, $F$11)</f>
        <v>11.6449</v>
      </c>
      <c r="D446" s="8">
        <f>CHOOSE( CONTROL!$C$32, 11.6478, 11.6468) * CHOOSE( CONTROL!$C$15, $D$11, 100%, $F$11)</f>
        <v>11.6478</v>
      </c>
      <c r="E446" s="12">
        <f>CHOOSE( CONTROL!$C$32, 11.6463, 11.6453) * CHOOSE( CONTROL!$C$15, $D$11, 100%, $F$11)</f>
        <v>11.6463</v>
      </c>
      <c r="F446" s="4">
        <f>CHOOSE( CONTROL!$C$32, 12.3483, 12.3472) * CHOOSE(CONTROL!$C$15, $D$11, 100%, $F$11)</f>
        <v>12.3483</v>
      </c>
      <c r="G446" s="8">
        <f>CHOOSE( CONTROL!$C$32, 11.5154, 11.5143) * CHOOSE( CONTROL!$C$15, $D$11, 100%, $F$11)</f>
        <v>11.5154</v>
      </c>
      <c r="H446" s="4">
        <f>CHOOSE( CONTROL!$C$32, 12.4503, 12.4492) * CHOOSE(CONTROL!$C$15, $D$11, 100%, $F$11)</f>
        <v>12.4503</v>
      </c>
      <c r="I446" s="8">
        <f>CHOOSE( CONTROL!$C$32, 11.4118, 11.4108) * CHOOSE(CONTROL!$C$15, $D$11, 100%, $F$11)</f>
        <v>11.411799999999999</v>
      </c>
      <c r="J446" s="4">
        <f>CHOOSE( CONTROL!$C$32, 11.2871, 11.286) * CHOOSE(CONTROL!$C$15, $D$11, 100%, $F$11)</f>
        <v>11.287100000000001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1.2927</v>
      </c>
      <c r="Q446" s="9">
        <v>20.136399999999998</v>
      </c>
      <c r="R446" s="9"/>
      <c r="S446" s="11"/>
    </row>
    <row r="447" spans="1:19" ht="15.75">
      <c r="A447" s="13">
        <v>54757</v>
      </c>
      <c r="B447" s="8">
        <f>CHOOSE( CONTROL!$C$32, 12.5522, 12.5511) * CHOOSE(CONTROL!$C$15, $D$11, 100%, $F$11)</f>
        <v>12.552199999999999</v>
      </c>
      <c r="C447" s="8">
        <f>CHOOSE( CONTROL!$C$32, 12.5573, 12.5562) * CHOOSE(CONTROL!$C$15, $D$11, 100%, $F$11)</f>
        <v>12.5573</v>
      </c>
      <c r="D447" s="8">
        <f>CHOOSE( CONTROL!$C$32, 12.5395, 12.5384) * CHOOSE( CONTROL!$C$15, $D$11, 100%, $F$11)</f>
        <v>12.5395</v>
      </c>
      <c r="E447" s="12">
        <f>CHOOSE( CONTROL!$C$32, 12.5455, 12.5444) * CHOOSE( CONTROL!$C$15, $D$11, 100%, $F$11)</f>
        <v>12.545500000000001</v>
      </c>
      <c r="F447" s="4">
        <f>CHOOSE( CONTROL!$C$32, 13.2175, 13.2164) * CHOOSE(CONTROL!$C$15, $D$11, 100%, $F$11)</f>
        <v>13.217499999999999</v>
      </c>
      <c r="G447" s="8">
        <f>CHOOSE( CONTROL!$C$32, 12.4168, 12.4157) * CHOOSE( CONTROL!$C$15, $D$11, 100%, $F$11)</f>
        <v>12.4168</v>
      </c>
      <c r="H447" s="4">
        <f>CHOOSE( CONTROL!$C$32, 13.3093, 13.3083) * CHOOSE(CONTROL!$C$15, $D$11, 100%, $F$11)</f>
        <v>13.3093</v>
      </c>
      <c r="I447" s="8">
        <f>CHOOSE( CONTROL!$C$32, 12.3601, 12.359) * CHOOSE(CONTROL!$C$15, $D$11, 100%, $F$11)</f>
        <v>12.360099999999999</v>
      </c>
      <c r="J447" s="4">
        <f>CHOOSE( CONTROL!$C$32, 12.1732, 12.1721) * CHOOSE(CONTROL!$C$15, $D$11, 100%, $F$11)</f>
        <v>12.1732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19.486799999999999</v>
      </c>
      <c r="R447" s="9"/>
      <c r="S447" s="11"/>
    </row>
    <row r="448" spans="1:19" ht="15.75">
      <c r="A448" s="13">
        <v>54788</v>
      </c>
      <c r="B448" s="8">
        <f>CHOOSE( CONTROL!$C$32, 12.5294, 12.5283) * CHOOSE(CONTROL!$C$15, $D$11, 100%, $F$11)</f>
        <v>12.529400000000001</v>
      </c>
      <c r="C448" s="8">
        <f>CHOOSE( CONTROL!$C$32, 12.5345, 12.5334) * CHOOSE(CONTROL!$C$15, $D$11, 100%, $F$11)</f>
        <v>12.5345</v>
      </c>
      <c r="D448" s="8">
        <f>CHOOSE( CONTROL!$C$32, 12.5181, 12.517) * CHOOSE( CONTROL!$C$15, $D$11, 100%, $F$11)</f>
        <v>12.5181</v>
      </c>
      <c r="E448" s="12">
        <f>CHOOSE( CONTROL!$C$32, 12.5236, 12.5225) * CHOOSE( CONTROL!$C$15, $D$11, 100%, $F$11)</f>
        <v>12.5236</v>
      </c>
      <c r="F448" s="4">
        <f>CHOOSE( CONTROL!$C$32, 13.1947, 13.1936) * CHOOSE(CONTROL!$C$15, $D$11, 100%, $F$11)</f>
        <v>13.194699999999999</v>
      </c>
      <c r="G448" s="8">
        <f>CHOOSE( CONTROL!$C$32, 12.3953, 12.3942) * CHOOSE( CONTROL!$C$15, $D$11, 100%, $F$11)</f>
        <v>12.395300000000001</v>
      </c>
      <c r="H448" s="4">
        <f>CHOOSE( CONTROL!$C$32, 13.2868, 13.2857) * CHOOSE(CONTROL!$C$15, $D$11, 100%, $F$11)</f>
        <v>13.286799999999999</v>
      </c>
      <c r="I448" s="8">
        <f>CHOOSE( CONTROL!$C$32, 12.3424, 12.3413) * CHOOSE(CONTROL!$C$15, $D$11, 100%, $F$11)</f>
        <v>12.3424</v>
      </c>
      <c r="J448" s="4">
        <f>CHOOSE( CONTROL!$C$32, 12.151, 12.15) * CHOOSE(CONTROL!$C$15, $D$11, 100%, $F$11)</f>
        <v>12.151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20.136399999999998</v>
      </c>
      <c r="R448" s="9"/>
      <c r="S448" s="11"/>
    </row>
    <row r="449" spans="1:19" ht="15.75">
      <c r="A449" s="13">
        <v>54819</v>
      </c>
      <c r="B449" s="8">
        <f>CHOOSE( CONTROL!$C$32, 12.8987, 12.8976) * CHOOSE(CONTROL!$C$15, $D$11, 100%, $F$11)</f>
        <v>12.8987</v>
      </c>
      <c r="C449" s="8">
        <f>CHOOSE( CONTROL!$C$32, 12.9037, 12.9027) * CHOOSE(CONTROL!$C$15, $D$11, 100%, $F$11)</f>
        <v>12.903700000000001</v>
      </c>
      <c r="D449" s="8">
        <f>CHOOSE( CONTROL!$C$32, 12.8825, 12.8814) * CHOOSE( CONTROL!$C$15, $D$11, 100%, $F$11)</f>
        <v>12.8825</v>
      </c>
      <c r="E449" s="12">
        <f>CHOOSE( CONTROL!$C$32, 12.8897, 12.8886) * CHOOSE( CONTROL!$C$15, $D$11, 100%, $F$11)</f>
        <v>12.889699999999999</v>
      </c>
      <c r="F449" s="4">
        <f>CHOOSE( CONTROL!$C$32, 13.5639, 13.5629) * CHOOSE(CONTROL!$C$15, $D$11, 100%, $F$11)</f>
        <v>13.5639</v>
      </c>
      <c r="G449" s="8">
        <f>CHOOSE( CONTROL!$C$32, 12.7497, 12.7487) * CHOOSE( CONTROL!$C$15, $D$11, 100%, $F$11)</f>
        <v>12.749700000000001</v>
      </c>
      <c r="H449" s="4">
        <f>CHOOSE( CONTROL!$C$32, 13.6517, 13.6507) * CHOOSE(CONTROL!$C$15, $D$11, 100%, $F$11)</f>
        <v>13.6517</v>
      </c>
      <c r="I449" s="8">
        <f>CHOOSE( CONTROL!$C$32, 12.663, 12.6619) * CHOOSE(CONTROL!$C$15, $D$11, 100%, $F$11)</f>
        <v>12.663</v>
      </c>
      <c r="J449" s="4">
        <f>CHOOSE( CONTROL!$C$32, 12.5094, 12.5084) * CHOOSE(CONTROL!$C$15, $D$11, 100%, $F$11)</f>
        <v>12.509399999999999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20.071300000000001</v>
      </c>
      <c r="R449" s="9"/>
      <c r="S449" s="11"/>
    </row>
    <row r="450" spans="1:19" ht="15.75">
      <c r="A450" s="13">
        <v>54847</v>
      </c>
      <c r="B450" s="8">
        <f>CHOOSE( CONTROL!$C$32, 12.0654, 12.0644) * CHOOSE(CONTROL!$C$15, $D$11, 100%, $F$11)</f>
        <v>12.0654</v>
      </c>
      <c r="C450" s="8">
        <f>CHOOSE( CONTROL!$C$32, 12.0705, 12.0694) * CHOOSE(CONTROL!$C$15, $D$11, 100%, $F$11)</f>
        <v>12.070499999999999</v>
      </c>
      <c r="D450" s="8">
        <f>CHOOSE( CONTROL!$C$32, 12.0491, 12.048) * CHOOSE( CONTROL!$C$15, $D$11, 100%, $F$11)</f>
        <v>12.049099999999999</v>
      </c>
      <c r="E450" s="12">
        <f>CHOOSE( CONTROL!$C$32, 12.0564, 12.0553) * CHOOSE( CONTROL!$C$15, $D$11, 100%, $F$11)</f>
        <v>12.0564</v>
      </c>
      <c r="F450" s="4">
        <f>CHOOSE( CONTROL!$C$32, 12.7307, 12.7296) * CHOOSE(CONTROL!$C$15, $D$11, 100%, $F$11)</f>
        <v>12.730700000000001</v>
      </c>
      <c r="G450" s="8">
        <f>CHOOSE( CONTROL!$C$32, 11.9262, 11.9251) * CHOOSE( CONTROL!$C$15, $D$11, 100%, $F$11)</f>
        <v>11.9262</v>
      </c>
      <c r="H450" s="4">
        <f>CHOOSE( CONTROL!$C$32, 12.8283, 12.8272) * CHOOSE(CONTROL!$C$15, $D$11, 100%, $F$11)</f>
        <v>12.8283</v>
      </c>
      <c r="I450" s="8">
        <f>CHOOSE( CONTROL!$C$32, 11.8535, 11.8525) * CHOOSE(CONTROL!$C$15, $D$11, 100%, $F$11)</f>
        <v>11.8535</v>
      </c>
      <c r="J450" s="4">
        <f>CHOOSE( CONTROL!$C$32, 11.7008, 11.6997) * CHOOSE(CONTROL!$C$15, $D$11, 100%, $F$11)</f>
        <v>11.700799999999999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18.128900000000002</v>
      </c>
      <c r="R450" s="9"/>
      <c r="S450" s="11"/>
    </row>
    <row r="451" spans="1:19" ht="15.75">
      <c r="A451" s="13">
        <v>54878</v>
      </c>
      <c r="B451" s="8">
        <f>CHOOSE( CONTROL!$C$32, 11.8088, 11.8077) * CHOOSE(CONTROL!$C$15, $D$11, 100%, $F$11)</f>
        <v>11.8088</v>
      </c>
      <c r="C451" s="8">
        <f>CHOOSE( CONTROL!$C$32, 11.8139, 11.8128) * CHOOSE(CONTROL!$C$15, $D$11, 100%, $F$11)</f>
        <v>11.8139</v>
      </c>
      <c r="D451" s="8">
        <f>CHOOSE( CONTROL!$C$32, 11.7918, 11.7907) * CHOOSE( CONTROL!$C$15, $D$11, 100%, $F$11)</f>
        <v>11.7918</v>
      </c>
      <c r="E451" s="12">
        <f>CHOOSE( CONTROL!$C$32, 11.7993, 11.7982) * CHOOSE( CONTROL!$C$15, $D$11, 100%, $F$11)</f>
        <v>11.799300000000001</v>
      </c>
      <c r="F451" s="4">
        <f>CHOOSE( CONTROL!$C$32, 12.4741, 12.473) * CHOOSE(CONTROL!$C$15, $D$11, 100%, $F$11)</f>
        <v>12.4741</v>
      </c>
      <c r="G451" s="8">
        <f>CHOOSE( CONTROL!$C$32, 11.6721, 11.671) * CHOOSE( CONTROL!$C$15, $D$11, 100%, $F$11)</f>
        <v>11.6721</v>
      </c>
      <c r="H451" s="4">
        <f>CHOOSE( CONTROL!$C$32, 12.5747, 12.5736) * CHOOSE(CONTROL!$C$15, $D$11, 100%, $F$11)</f>
        <v>12.5747</v>
      </c>
      <c r="I451" s="8">
        <f>CHOOSE( CONTROL!$C$32, 11.6024, 11.6013) * CHOOSE(CONTROL!$C$15, $D$11, 100%, $F$11)</f>
        <v>11.602399999999999</v>
      </c>
      <c r="J451" s="4">
        <f>CHOOSE( CONTROL!$C$32, 11.4517, 11.4506) * CHOOSE(CONTROL!$C$15, $D$11, 100%, $F$11)</f>
        <v>11.451700000000001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20.071300000000001</v>
      </c>
      <c r="R451" s="9"/>
      <c r="S451" s="11"/>
    </row>
    <row r="452" spans="1:19" ht="15.75">
      <c r="A452" s="13">
        <v>54908</v>
      </c>
      <c r="B452" s="8">
        <f>CHOOSE( CONTROL!$C$32, 11.9889, 11.9878) * CHOOSE(CONTROL!$C$15, $D$11, 100%, $F$11)</f>
        <v>11.988899999999999</v>
      </c>
      <c r="C452" s="8">
        <f>CHOOSE( CONTROL!$C$32, 11.9934, 11.9923) * CHOOSE(CONTROL!$C$15, $D$11, 100%, $F$11)</f>
        <v>11.993399999999999</v>
      </c>
      <c r="D452" s="8">
        <f>CHOOSE( CONTROL!$C$32, 11.9963, 11.9952) * CHOOSE( CONTROL!$C$15, $D$11, 100%, $F$11)</f>
        <v>11.9963</v>
      </c>
      <c r="E452" s="12">
        <f>CHOOSE( CONTROL!$C$32, 11.9948, 11.9937) * CHOOSE( CONTROL!$C$15, $D$11, 100%, $F$11)</f>
        <v>11.9948</v>
      </c>
      <c r="F452" s="4">
        <f>CHOOSE( CONTROL!$C$32, 12.6972, 12.6961) * CHOOSE(CONTROL!$C$15, $D$11, 100%, $F$11)</f>
        <v>12.6972</v>
      </c>
      <c r="G452" s="8">
        <f>CHOOSE( CONTROL!$C$32, 11.8598, 11.8587) * CHOOSE( CONTROL!$C$15, $D$11, 100%, $F$11)</f>
        <v>11.8598</v>
      </c>
      <c r="H452" s="4">
        <f>CHOOSE( CONTROL!$C$32, 12.7952, 12.7941) * CHOOSE(CONTROL!$C$15, $D$11, 100%, $F$11)</f>
        <v>12.795199999999999</v>
      </c>
      <c r="I452" s="8">
        <f>CHOOSE( CONTROL!$C$32, 11.7487, 11.7477) * CHOOSE(CONTROL!$C$15, $D$11, 100%, $F$11)</f>
        <v>11.748699999999999</v>
      </c>
      <c r="J452" s="4">
        <f>CHOOSE( CONTROL!$C$32, 11.6257, 11.6247) * CHOOSE(CONTROL!$C$15, $D$11, 100%, $F$11)</f>
        <v>11.6257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1.2509999999999999</v>
      </c>
      <c r="Q452" s="9">
        <v>19.4238</v>
      </c>
      <c r="R452" s="9"/>
      <c r="S452" s="11"/>
    </row>
    <row r="453" spans="1:19" ht="15.75">
      <c r="A453" s="13">
        <v>54939</v>
      </c>
      <c r="B453" s="8">
        <f>CHOOSE( CONTROL!$C$32, 12.31, 12.3083) * CHOOSE(CONTROL!$C$15, $D$11, 100%, $F$11)</f>
        <v>12.31</v>
      </c>
      <c r="C453" s="8">
        <f>CHOOSE( CONTROL!$C$32, 12.318, 12.3163) * CHOOSE(CONTROL!$C$15, $D$11, 100%, $F$11)</f>
        <v>12.318</v>
      </c>
      <c r="D453" s="8">
        <f>CHOOSE( CONTROL!$C$32, 12.3147, 12.3131) * CHOOSE( CONTROL!$C$15, $D$11, 100%, $F$11)</f>
        <v>12.3147</v>
      </c>
      <c r="E453" s="12">
        <f>CHOOSE( CONTROL!$C$32, 12.3147, 12.313) * CHOOSE( CONTROL!$C$15, $D$11, 100%, $F$11)</f>
        <v>12.3147</v>
      </c>
      <c r="F453" s="4">
        <f>CHOOSE( CONTROL!$C$32, 13.0169, 13.0153) * CHOOSE(CONTROL!$C$15, $D$11, 100%, $F$11)</f>
        <v>13.0169</v>
      </c>
      <c r="G453" s="8">
        <f>CHOOSE( CONTROL!$C$32, 12.1756, 12.174) * CHOOSE( CONTROL!$C$15, $D$11, 100%, $F$11)</f>
        <v>12.175599999999999</v>
      </c>
      <c r="H453" s="4">
        <f>CHOOSE( CONTROL!$C$32, 13.1112, 13.1095) * CHOOSE(CONTROL!$C$15, $D$11, 100%, $F$11)</f>
        <v>13.1112</v>
      </c>
      <c r="I453" s="8">
        <f>CHOOSE( CONTROL!$C$32, 12.0585, 12.0569) * CHOOSE(CONTROL!$C$15, $D$11, 100%, $F$11)</f>
        <v>12.0585</v>
      </c>
      <c r="J453" s="4">
        <f>CHOOSE( CONTROL!$C$32, 11.936, 11.9344) * CHOOSE(CONTROL!$C$15, $D$11, 100%, $F$11)</f>
        <v>11.936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1.2927</v>
      </c>
      <c r="Q453" s="9">
        <v>20.071300000000001</v>
      </c>
      <c r="R453" s="9"/>
      <c r="S453" s="11"/>
    </row>
    <row r="454" spans="1:19" ht="15.75">
      <c r="A454" s="13">
        <v>54969</v>
      </c>
      <c r="B454" s="8">
        <f>CHOOSE( CONTROL!$C$32, 12.1123, 12.1106) * CHOOSE(CONTROL!$C$15, $D$11, 100%, $F$11)</f>
        <v>12.112299999999999</v>
      </c>
      <c r="C454" s="8">
        <f>CHOOSE( CONTROL!$C$32, 12.1203, 12.1186) * CHOOSE(CONTROL!$C$15, $D$11, 100%, $F$11)</f>
        <v>12.1203</v>
      </c>
      <c r="D454" s="8">
        <f>CHOOSE( CONTROL!$C$32, 12.1172, 12.1156) * CHOOSE( CONTROL!$C$15, $D$11, 100%, $F$11)</f>
        <v>12.1172</v>
      </c>
      <c r="E454" s="12">
        <f>CHOOSE( CONTROL!$C$32, 12.1171, 12.1155) * CHOOSE( CONTROL!$C$15, $D$11, 100%, $F$11)</f>
        <v>12.117100000000001</v>
      </c>
      <c r="F454" s="4">
        <f>CHOOSE( CONTROL!$C$32, 12.8192, 12.8176) * CHOOSE(CONTROL!$C$15, $D$11, 100%, $F$11)</f>
        <v>12.8192</v>
      </c>
      <c r="G454" s="8">
        <f>CHOOSE( CONTROL!$C$32, 11.9804, 11.9788) * CHOOSE( CONTROL!$C$15, $D$11, 100%, $F$11)</f>
        <v>11.980399999999999</v>
      </c>
      <c r="H454" s="4">
        <f>CHOOSE( CONTROL!$C$32, 12.9158, 12.9141) * CHOOSE(CONTROL!$C$15, $D$11, 100%, $F$11)</f>
        <v>12.915800000000001</v>
      </c>
      <c r="I454" s="8">
        <f>CHOOSE( CONTROL!$C$32, 11.8673, 11.8657) * CHOOSE(CONTROL!$C$15, $D$11, 100%, $F$11)</f>
        <v>11.8673</v>
      </c>
      <c r="J454" s="4">
        <f>CHOOSE( CONTROL!$C$32, 11.7442, 11.7426) * CHOOSE(CONTROL!$C$15, $D$11, 100%, $F$11)</f>
        <v>11.744199999999999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1.2509999999999999</v>
      </c>
      <c r="Q454" s="9">
        <v>19.4238</v>
      </c>
      <c r="R454" s="9"/>
      <c r="S454" s="11"/>
    </row>
    <row r="455" spans="1:19" ht="15.75">
      <c r="A455" s="13">
        <v>55000</v>
      </c>
      <c r="B455" s="8">
        <f>CHOOSE( CONTROL!$C$32, 12.6329, 12.6313) * CHOOSE(CONTROL!$C$15, $D$11, 100%, $F$11)</f>
        <v>12.632899999999999</v>
      </c>
      <c r="C455" s="8">
        <f>CHOOSE( CONTROL!$C$32, 12.6409, 12.6393) * CHOOSE(CONTROL!$C$15, $D$11, 100%, $F$11)</f>
        <v>12.6409</v>
      </c>
      <c r="D455" s="8">
        <f>CHOOSE( CONTROL!$C$32, 12.6381, 12.6365) * CHOOSE( CONTROL!$C$15, $D$11, 100%, $F$11)</f>
        <v>12.6381</v>
      </c>
      <c r="E455" s="12">
        <f>CHOOSE( CONTROL!$C$32, 12.6379, 12.6363) * CHOOSE( CONTROL!$C$15, $D$11, 100%, $F$11)</f>
        <v>12.6379</v>
      </c>
      <c r="F455" s="4">
        <f>CHOOSE( CONTROL!$C$32, 13.3399, 13.3382) * CHOOSE(CONTROL!$C$15, $D$11, 100%, $F$11)</f>
        <v>13.3399</v>
      </c>
      <c r="G455" s="8">
        <f>CHOOSE( CONTROL!$C$32, 12.4952, 12.4935) * CHOOSE( CONTROL!$C$15, $D$11, 100%, $F$11)</f>
        <v>12.495200000000001</v>
      </c>
      <c r="H455" s="4">
        <f>CHOOSE( CONTROL!$C$32, 13.4303, 13.4287) * CHOOSE(CONTROL!$C$15, $D$11, 100%, $F$11)</f>
        <v>13.430300000000001</v>
      </c>
      <c r="I455" s="8">
        <f>CHOOSE( CONTROL!$C$32, 12.3737, 12.3721) * CHOOSE(CONTROL!$C$15, $D$11, 100%, $F$11)</f>
        <v>12.373699999999999</v>
      </c>
      <c r="J455" s="4">
        <f>CHOOSE( CONTROL!$C$32, 12.2494, 12.2478) * CHOOSE(CONTROL!$C$15, $D$11, 100%, $F$11)</f>
        <v>12.2494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1.2927</v>
      </c>
      <c r="Q455" s="9">
        <v>20.071300000000001</v>
      </c>
      <c r="R455" s="9"/>
      <c r="S455" s="11"/>
    </row>
    <row r="456" spans="1:19" ht="15.75">
      <c r="A456" s="13">
        <v>55031</v>
      </c>
      <c r="B456" s="8">
        <f>CHOOSE( CONTROL!$C$32, 11.6588, 11.6571) * CHOOSE(CONTROL!$C$15, $D$11, 100%, $F$11)</f>
        <v>11.658799999999999</v>
      </c>
      <c r="C456" s="8">
        <f>CHOOSE( CONTROL!$C$32, 11.6667, 11.6651) * CHOOSE(CONTROL!$C$15, $D$11, 100%, $F$11)</f>
        <v>11.666700000000001</v>
      </c>
      <c r="D456" s="8">
        <f>CHOOSE( CONTROL!$C$32, 11.664, 11.6624) * CHOOSE( CONTROL!$C$15, $D$11, 100%, $F$11)</f>
        <v>11.664</v>
      </c>
      <c r="E456" s="12">
        <f>CHOOSE( CONTROL!$C$32, 11.6638, 11.6622) * CHOOSE( CONTROL!$C$15, $D$11, 100%, $F$11)</f>
        <v>11.6638</v>
      </c>
      <c r="F456" s="4">
        <f>CHOOSE( CONTROL!$C$32, 12.3657, 12.364) * CHOOSE(CONTROL!$C$15, $D$11, 100%, $F$11)</f>
        <v>12.3657</v>
      </c>
      <c r="G456" s="8">
        <f>CHOOSE( CONTROL!$C$32, 11.5325, 11.5308) * CHOOSE( CONTROL!$C$15, $D$11, 100%, $F$11)</f>
        <v>11.532500000000001</v>
      </c>
      <c r="H456" s="4">
        <f>CHOOSE( CONTROL!$C$32, 12.4675, 12.4659) * CHOOSE(CONTROL!$C$15, $D$11, 100%, $F$11)</f>
        <v>12.467499999999999</v>
      </c>
      <c r="I456" s="8">
        <f>CHOOSE( CONTROL!$C$32, 11.4281, 11.4265) * CHOOSE(CONTROL!$C$15, $D$11, 100%, $F$11)</f>
        <v>11.428100000000001</v>
      </c>
      <c r="J456" s="4">
        <f>CHOOSE( CONTROL!$C$32, 11.304, 11.3024) * CHOOSE(CONTROL!$C$15, $D$11, 100%, $F$11)</f>
        <v>11.304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1.2927</v>
      </c>
      <c r="Q456" s="9">
        <v>20.071300000000001</v>
      </c>
      <c r="R456" s="9"/>
      <c r="S456" s="11"/>
    </row>
    <row r="457" spans="1:19" ht="15.75">
      <c r="A457" s="13">
        <v>55061</v>
      </c>
      <c r="B457" s="8">
        <f>CHOOSE( CONTROL!$C$32, 11.4148, 11.4132) * CHOOSE(CONTROL!$C$15, $D$11, 100%, $F$11)</f>
        <v>11.4148</v>
      </c>
      <c r="C457" s="8">
        <f>CHOOSE( CONTROL!$C$32, 11.4228, 11.4211) * CHOOSE(CONTROL!$C$15, $D$11, 100%, $F$11)</f>
        <v>11.422800000000001</v>
      </c>
      <c r="D457" s="8">
        <f>CHOOSE( CONTROL!$C$32, 11.42, 11.4184) * CHOOSE( CONTROL!$C$15, $D$11, 100%, $F$11)</f>
        <v>11.42</v>
      </c>
      <c r="E457" s="12">
        <f>CHOOSE( CONTROL!$C$32, 11.4198, 11.4182) * CHOOSE( CONTROL!$C$15, $D$11, 100%, $F$11)</f>
        <v>11.4198</v>
      </c>
      <c r="F457" s="4">
        <f>CHOOSE( CONTROL!$C$32, 12.1218, 12.1201) * CHOOSE(CONTROL!$C$15, $D$11, 100%, $F$11)</f>
        <v>12.1218</v>
      </c>
      <c r="G457" s="8">
        <f>CHOOSE( CONTROL!$C$32, 11.2914, 11.2897) * CHOOSE( CONTROL!$C$15, $D$11, 100%, $F$11)</f>
        <v>11.291399999999999</v>
      </c>
      <c r="H457" s="4">
        <f>CHOOSE( CONTROL!$C$32, 12.2264, 12.2248) * CHOOSE(CONTROL!$C$15, $D$11, 100%, $F$11)</f>
        <v>12.2264</v>
      </c>
      <c r="I457" s="8">
        <f>CHOOSE( CONTROL!$C$32, 11.1911, 11.1894) * CHOOSE(CONTROL!$C$15, $D$11, 100%, $F$11)</f>
        <v>11.1911</v>
      </c>
      <c r="J457" s="4">
        <f>CHOOSE( CONTROL!$C$32, 11.0673, 11.0656) * CHOOSE(CONTROL!$C$15, $D$11, 100%, $F$11)</f>
        <v>11.067299999999999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1.2509999999999999</v>
      </c>
      <c r="Q457" s="9">
        <v>19.4238</v>
      </c>
      <c r="R457" s="9"/>
      <c r="S457" s="11"/>
    </row>
    <row r="458" spans="1:19" ht="15.75">
      <c r="A458" s="13">
        <v>55092</v>
      </c>
      <c r="B458" s="8">
        <f>CHOOSE( CONTROL!$C$32, 11.919, 11.9179) * CHOOSE(CONTROL!$C$15, $D$11, 100%, $F$11)</f>
        <v>11.919</v>
      </c>
      <c r="C458" s="8">
        <f>CHOOSE( CONTROL!$C$32, 11.9244, 11.9233) * CHOOSE(CONTROL!$C$15, $D$11, 100%, $F$11)</f>
        <v>11.9244</v>
      </c>
      <c r="D458" s="8">
        <f>CHOOSE( CONTROL!$C$32, 11.9273, 11.9262) * CHOOSE( CONTROL!$C$15, $D$11, 100%, $F$11)</f>
        <v>11.927300000000001</v>
      </c>
      <c r="E458" s="12">
        <f>CHOOSE( CONTROL!$C$32, 11.9258, 11.9247) * CHOOSE( CONTROL!$C$15, $D$11, 100%, $F$11)</f>
        <v>11.925800000000001</v>
      </c>
      <c r="F458" s="4">
        <f>CHOOSE( CONTROL!$C$32, 12.6277, 12.6266) * CHOOSE(CONTROL!$C$15, $D$11, 100%, $F$11)</f>
        <v>12.627700000000001</v>
      </c>
      <c r="G458" s="8">
        <f>CHOOSE( CONTROL!$C$32, 11.7915, 11.7905) * CHOOSE( CONTROL!$C$15, $D$11, 100%, $F$11)</f>
        <v>11.791499999999999</v>
      </c>
      <c r="H458" s="4">
        <f>CHOOSE( CONTROL!$C$32, 12.7265, 12.7254) * CHOOSE(CONTROL!$C$15, $D$11, 100%, $F$11)</f>
        <v>12.7265</v>
      </c>
      <c r="I458" s="8">
        <f>CHOOSE( CONTROL!$C$32, 11.6831, 11.6821) * CHOOSE(CONTROL!$C$15, $D$11, 100%, $F$11)</f>
        <v>11.6831</v>
      </c>
      <c r="J458" s="4">
        <f>CHOOSE( CONTROL!$C$32, 11.5583, 11.5572) * CHOOSE(CONTROL!$C$15, $D$11, 100%, $F$11)</f>
        <v>11.558299999999999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1.2927</v>
      </c>
      <c r="Q458" s="9">
        <v>20.071300000000001</v>
      </c>
      <c r="R458" s="9"/>
      <c r="S458" s="11"/>
    </row>
    <row r="459" spans="1:19" ht="15.75">
      <c r="A459" s="13">
        <v>55122</v>
      </c>
      <c r="B459" s="8">
        <f>CHOOSE( CONTROL!$C$32, 12.8536, 12.8525) * CHOOSE(CONTROL!$C$15, $D$11, 100%, $F$11)</f>
        <v>12.8536</v>
      </c>
      <c r="C459" s="8">
        <f>CHOOSE( CONTROL!$C$32, 12.8586, 12.8575) * CHOOSE(CONTROL!$C$15, $D$11, 100%, $F$11)</f>
        <v>12.858599999999999</v>
      </c>
      <c r="D459" s="8">
        <f>CHOOSE( CONTROL!$C$32, 12.8408, 12.8397) * CHOOSE( CONTROL!$C$15, $D$11, 100%, $F$11)</f>
        <v>12.8408</v>
      </c>
      <c r="E459" s="12">
        <f>CHOOSE( CONTROL!$C$32, 12.8468, 12.8457) * CHOOSE( CONTROL!$C$15, $D$11, 100%, $F$11)</f>
        <v>12.8468</v>
      </c>
      <c r="F459" s="4">
        <f>CHOOSE( CONTROL!$C$32, 13.5188, 13.5178) * CHOOSE(CONTROL!$C$15, $D$11, 100%, $F$11)</f>
        <v>13.518800000000001</v>
      </c>
      <c r="G459" s="8">
        <f>CHOOSE( CONTROL!$C$32, 12.7146, 12.7135) * CHOOSE( CONTROL!$C$15, $D$11, 100%, $F$11)</f>
        <v>12.714600000000001</v>
      </c>
      <c r="H459" s="4">
        <f>CHOOSE( CONTROL!$C$32, 13.6072, 13.6061) * CHOOSE(CONTROL!$C$15, $D$11, 100%, $F$11)</f>
        <v>13.607200000000001</v>
      </c>
      <c r="I459" s="8">
        <f>CHOOSE( CONTROL!$C$32, 12.6527, 12.6516) * CHOOSE(CONTROL!$C$15, $D$11, 100%, $F$11)</f>
        <v>12.652699999999999</v>
      </c>
      <c r="J459" s="4">
        <f>CHOOSE( CONTROL!$C$32, 12.4656, 12.4646) * CHOOSE(CONTROL!$C$15, $D$11, 100%, $F$11)</f>
        <v>12.4656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19.4238</v>
      </c>
      <c r="R459" s="9"/>
      <c r="S459" s="11"/>
    </row>
    <row r="460" spans="1:19" ht="15.75">
      <c r="A460" s="13">
        <v>55153</v>
      </c>
      <c r="B460" s="8">
        <f>CHOOSE( CONTROL!$C$32, 12.8302, 12.8291) * CHOOSE(CONTROL!$C$15, $D$11, 100%, $F$11)</f>
        <v>12.8302</v>
      </c>
      <c r="C460" s="8">
        <f>CHOOSE( CONTROL!$C$32, 12.8353, 12.8342) * CHOOSE(CONTROL!$C$15, $D$11, 100%, $F$11)</f>
        <v>12.8353</v>
      </c>
      <c r="D460" s="8">
        <f>CHOOSE( CONTROL!$C$32, 12.8189, 12.8178) * CHOOSE( CONTROL!$C$15, $D$11, 100%, $F$11)</f>
        <v>12.818899999999999</v>
      </c>
      <c r="E460" s="12">
        <f>CHOOSE( CONTROL!$C$32, 12.8244, 12.8233) * CHOOSE( CONTROL!$C$15, $D$11, 100%, $F$11)</f>
        <v>12.824400000000001</v>
      </c>
      <c r="F460" s="4">
        <f>CHOOSE( CONTROL!$C$32, 13.4955, 13.4944) * CHOOSE(CONTROL!$C$15, $D$11, 100%, $F$11)</f>
        <v>13.4955</v>
      </c>
      <c r="G460" s="8">
        <f>CHOOSE( CONTROL!$C$32, 12.6926, 12.6915) * CHOOSE( CONTROL!$C$15, $D$11, 100%, $F$11)</f>
        <v>12.692600000000001</v>
      </c>
      <c r="H460" s="4">
        <f>CHOOSE( CONTROL!$C$32, 13.5841, 13.583) * CHOOSE(CONTROL!$C$15, $D$11, 100%, $F$11)</f>
        <v>13.584099999999999</v>
      </c>
      <c r="I460" s="8">
        <f>CHOOSE( CONTROL!$C$32, 12.6345, 12.6334) * CHOOSE(CONTROL!$C$15, $D$11, 100%, $F$11)</f>
        <v>12.634499999999999</v>
      </c>
      <c r="J460" s="4">
        <f>CHOOSE( CONTROL!$C$32, 12.443, 12.4419) * CHOOSE(CONTROL!$C$15, $D$11, 100%, $F$11)</f>
        <v>12.443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20.071300000000001</v>
      </c>
      <c r="R460" s="9"/>
      <c r="S460" s="11"/>
    </row>
    <row r="461" spans="1:19" ht="15.75">
      <c r="A461" s="13">
        <v>55184</v>
      </c>
      <c r="B461" s="8">
        <f>CHOOSE( CONTROL!$C$32, 13.2083, 13.2073) * CHOOSE(CONTROL!$C$15, $D$11, 100%, $F$11)</f>
        <v>13.208299999999999</v>
      </c>
      <c r="C461" s="8">
        <f>CHOOSE( CONTROL!$C$32, 13.2134, 13.2123) * CHOOSE(CONTROL!$C$15, $D$11, 100%, $F$11)</f>
        <v>13.2134</v>
      </c>
      <c r="D461" s="8">
        <f>CHOOSE( CONTROL!$C$32, 13.1921, 13.1911) * CHOOSE( CONTROL!$C$15, $D$11, 100%, $F$11)</f>
        <v>13.1921</v>
      </c>
      <c r="E461" s="12">
        <f>CHOOSE( CONTROL!$C$32, 13.1993, 13.1983) * CHOOSE( CONTROL!$C$15, $D$11, 100%, $F$11)</f>
        <v>13.199299999999999</v>
      </c>
      <c r="F461" s="4">
        <f>CHOOSE( CONTROL!$C$32, 13.8736, 13.8725) * CHOOSE(CONTROL!$C$15, $D$11, 100%, $F$11)</f>
        <v>13.8736</v>
      </c>
      <c r="G461" s="8">
        <f>CHOOSE( CONTROL!$C$32, 13.0558, 13.0547) * CHOOSE( CONTROL!$C$15, $D$11, 100%, $F$11)</f>
        <v>13.0558</v>
      </c>
      <c r="H461" s="4">
        <f>CHOOSE( CONTROL!$C$32, 13.9578, 13.9567) * CHOOSE(CONTROL!$C$15, $D$11, 100%, $F$11)</f>
        <v>13.957800000000001</v>
      </c>
      <c r="I461" s="8">
        <f>CHOOSE( CONTROL!$C$32, 12.9637, 12.9626) * CHOOSE(CONTROL!$C$15, $D$11, 100%, $F$11)</f>
        <v>12.963699999999999</v>
      </c>
      <c r="J461" s="4">
        <f>CHOOSE( CONTROL!$C$32, 12.8099, 12.8089) * CHOOSE(CONTROL!$C$15, $D$11, 100%, $F$11)</f>
        <v>12.809900000000001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20.007999999999999</v>
      </c>
      <c r="R461" s="9"/>
      <c r="S461" s="11"/>
    </row>
    <row r="462" spans="1:19" ht="15.75">
      <c r="A462" s="13">
        <v>55212</v>
      </c>
      <c r="B462" s="8">
        <f>CHOOSE( CONTROL!$C$32, 12.3551, 12.354) * CHOOSE(CONTROL!$C$15, $D$11, 100%, $F$11)</f>
        <v>12.3551</v>
      </c>
      <c r="C462" s="8">
        <f>CHOOSE( CONTROL!$C$32, 12.3602, 12.3591) * CHOOSE(CONTROL!$C$15, $D$11, 100%, $F$11)</f>
        <v>12.360200000000001</v>
      </c>
      <c r="D462" s="8">
        <f>CHOOSE( CONTROL!$C$32, 12.3388, 12.3377) * CHOOSE( CONTROL!$C$15, $D$11, 100%, $F$11)</f>
        <v>12.338800000000001</v>
      </c>
      <c r="E462" s="12">
        <f>CHOOSE( CONTROL!$C$32, 12.3461, 12.345) * CHOOSE( CONTROL!$C$15, $D$11, 100%, $F$11)</f>
        <v>12.3461</v>
      </c>
      <c r="F462" s="4">
        <f>CHOOSE( CONTROL!$C$32, 13.0204, 13.0193) * CHOOSE(CONTROL!$C$15, $D$11, 100%, $F$11)</f>
        <v>13.0204</v>
      </c>
      <c r="G462" s="8">
        <f>CHOOSE( CONTROL!$C$32, 12.2124, 12.2114) * CHOOSE( CONTROL!$C$15, $D$11, 100%, $F$11)</f>
        <v>12.212400000000001</v>
      </c>
      <c r="H462" s="4">
        <f>CHOOSE( CONTROL!$C$32, 13.1145, 13.1135) * CHOOSE(CONTROL!$C$15, $D$11, 100%, $F$11)</f>
        <v>13.1145</v>
      </c>
      <c r="I462" s="8">
        <f>CHOOSE( CONTROL!$C$32, 12.1348, 12.1337) * CHOOSE(CONTROL!$C$15, $D$11, 100%, $F$11)</f>
        <v>12.1348</v>
      </c>
      <c r="J462" s="4">
        <f>CHOOSE( CONTROL!$C$32, 11.9819, 11.9808) * CHOOSE(CONTROL!$C$15, $D$11, 100%, $F$11)</f>
        <v>11.9819</v>
      </c>
      <c r="K462" s="4"/>
      <c r="L462" s="9">
        <v>26.469899999999999</v>
      </c>
      <c r="M462" s="9">
        <v>10.8962</v>
      </c>
      <c r="N462" s="9">
        <v>4.4660000000000002</v>
      </c>
      <c r="O462" s="9">
        <v>0.33789999999999998</v>
      </c>
      <c r="P462" s="9">
        <v>1.1676</v>
      </c>
      <c r="Q462" s="9">
        <v>18.0718</v>
      </c>
      <c r="R462" s="9"/>
      <c r="S462" s="11"/>
    </row>
    <row r="463" spans="1:19" ht="15.75">
      <c r="A463" s="13">
        <v>55243</v>
      </c>
      <c r="B463" s="8">
        <f>CHOOSE( CONTROL!$C$32, 12.0923, 12.0912) * CHOOSE(CONTROL!$C$15, $D$11, 100%, $F$11)</f>
        <v>12.0923</v>
      </c>
      <c r="C463" s="8">
        <f>CHOOSE( CONTROL!$C$32, 12.0974, 12.0963) * CHOOSE(CONTROL!$C$15, $D$11, 100%, $F$11)</f>
        <v>12.0974</v>
      </c>
      <c r="D463" s="8">
        <f>CHOOSE( CONTROL!$C$32, 12.0753, 12.0742) * CHOOSE( CONTROL!$C$15, $D$11, 100%, $F$11)</f>
        <v>12.0753</v>
      </c>
      <c r="E463" s="12">
        <f>CHOOSE( CONTROL!$C$32, 12.0828, 12.0817) * CHOOSE( CONTROL!$C$15, $D$11, 100%, $F$11)</f>
        <v>12.082800000000001</v>
      </c>
      <c r="F463" s="4">
        <f>CHOOSE( CONTROL!$C$32, 12.7576, 12.7565) * CHOOSE(CONTROL!$C$15, $D$11, 100%, $F$11)</f>
        <v>12.7576</v>
      </c>
      <c r="G463" s="8">
        <f>CHOOSE( CONTROL!$C$32, 11.9523, 11.9512) * CHOOSE( CONTROL!$C$15, $D$11, 100%, $F$11)</f>
        <v>11.952299999999999</v>
      </c>
      <c r="H463" s="4">
        <f>CHOOSE( CONTROL!$C$32, 12.8548, 12.8538) * CHOOSE(CONTROL!$C$15, $D$11, 100%, $F$11)</f>
        <v>12.854799999999999</v>
      </c>
      <c r="I463" s="8">
        <f>CHOOSE( CONTROL!$C$32, 11.8776, 11.8766) * CHOOSE(CONTROL!$C$15, $D$11, 100%, $F$11)</f>
        <v>11.877599999999999</v>
      </c>
      <c r="J463" s="4">
        <f>CHOOSE( CONTROL!$C$32, 11.7268, 11.7258) * CHOOSE(CONTROL!$C$15, $D$11, 100%, $F$11)</f>
        <v>11.726800000000001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20.007999999999999</v>
      </c>
      <c r="R463" s="9"/>
      <c r="S463" s="11"/>
    </row>
    <row r="464" spans="1:19" ht="15.75">
      <c r="A464" s="13">
        <v>55273</v>
      </c>
      <c r="B464" s="8">
        <f>CHOOSE( CONTROL!$C$32, 12.2767, 12.2756) * CHOOSE(CONTROL!$C$15, $D$11, 100%, $F$11)</f>
        <v>12.2767</v>
      </c>
      <c r="C464" s="8">
        <f>CHOOSE( CONTROL!$C$32, 12.2812, 12.2801) * CHOOSE(CONTROL!$C$15, $D$11, 100%, $F$11)</f>
        <v>12.2812</v>
      </c>
      <c r="D464" s="8">
        <f>CHOOSE( CONTROL!$C$32, 12.2841, 12.283) * CHOOSE( CONTROL!$C$15, $D$11, 100%, $F$11)</f>
        <v>12.2841</v>
      </c>
      <c r="E464" s="12">
        <f>CHOOSE( CONTROL!$C$32, 12.2826, 12.2815) * CHOOSE( CONTROL!$C$15, $D$11, 100%, $F$11)</f>
        <v>12.2826</v>
      </c>
      <c r="F464" s="4">
        <f>CHOOSE( CONTROL!$C$32, 12.985, 12.9839) * CHOOSE(CONTROL!$C$15, $D$11, 100%, $F$11)</f>
        <v>12.984999999999999</v>
      </c>
      <c r="G464" s="8">
        <f>CHOOSE( CONTROL!$C$32, 12.1442, 12.1432) * CHOOSE( CONTROL!$C$15, $D$11, 100%, $F$11)</f>
        <v>12.1442</v>
      </c>
      <c r="H464" s="4">
        <f>CHOOSE( CONTROL!$C$32, 13.0796, 13.0785) * CHOOSE(CONTROL!$C$15, $D$11, 100%, $F$11)</f>
        <v>13.079599999999999</v>
      </c>
      <c r="I464" s="8">
        <f>CHOOSE( CONTROL!$C$32, 12.0282, 12.0271) * CHOOSE(CONTROL!$C$15, $D$11, 100%, $F$11)</f>
        <v>12.0282</v>
      </c>
      <c r="J464" s="4">
        <f>CHOOSE( CONTROL!$C$32, 11.905, 11.904) * CHOOSE(CONTROL!$C$15, $D$11, 100%, $F$11)</f>
        <v>11.904999999999999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1.2509999999999999</v>
      </c>
      <c r="Q464" s="9">
        <v>19.3626</v>
      </c>
      <c r="R464" s="9"/>
      <c r="S464" s="11"/>
    </row>
    <row r="465" spans="1:19" ht="15.75">
      <c r="A465" s="13">
        <v>55304</v>
      </c>
      <c r="B465" s="8">
        <f>CHOOSE( CONTROL!$C$32, 12.6055, 12.6038) * CHOOSE(CONTROL!$C$15, $D$11, 100%, $F$11)</f>
        <v>12.605499999999999</v>
      </c>
      <c r="C465" s="8">
        <f>CHOOSE( CONTROL!$C$32, 12.6135, 12.6118) * CHOOSE(CONTROL!$C$15, $D$11, 100%, $F$11)</f>
        <v>12.6135</v>
      </c>
      <c r="D465" s="8">
        <f>CHOOSE( CONTROL!$C$32, 12.6102, 12.6085) * CHOOSE( CONTROL!$C$15, $D$11, 100%, $F$11)</f>
        <v>12.610200000000001</v>
      </c>
      <c r="E465" s="12">
        <f>CHOOSE( CONTROL!$C$32, 12.6102, 12.6085) * CHOOSE( CONTROL!$C$15, $D$11, 100%, $F$11)</f>
        <v>12.610200000000001</v>
      </c>
      <c r="F465" s="4">
        <f>CHOOSE( CONTROL!$C$32, 13.3124, 13.3108) * CHOOSE(CONTROL!$C$15, $D$11, 100%, $F$11)</f>
        <v>13.3124</v>
      </c>
      <c r="G465" s="8">
        <f>CHOOSE( CONTROL!$C$32, 12.4677, 12.466) * CHOOSE( CONTROL!$C$15, $D$11, 100%, $F$11)</f>
        <v>12.467700000000001</v>
      </c>
      <c r="H465" s="4">
        <f>CHOOSE( CONTROL!$C$32, 13.4032, 13.4015) * CHOOSE(CONTROL!$C$15, $D$11, 100%, $F$11)</f>
        <v>13.4032</v>
      </c>
      <c r="I465" s="8">
        <f>CHOOSE( CONTROL!$C$32, 12.3454, 12.3438) * CHOOSE(CONTROL!$C$15, $D$11, 100%, $F$11)</f>
        <v>12.3454</v>
      </c>
      <c r="J465" s="4">
        <f>CHOOSE( CONTROL!$C$32, 12.2228, 12.2212) * CHOOSE(CONTROL!$C$15, $D$11, 100%, $F$11)</f>
        <v>12.222799999999999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1.2927</v>
      </c>
      <c r="Q465" s="9">
        <v>20.007999999999999</v>
      </c>
      <c r="R465" s="9"/>
      <c r="S465" s="11"/>
    </row>
    <row r="466" spans="1:19" ht="15.75">
      <c r="A466" s="13">
        <v>55334</v>
      </c>
      <c r="B466" s="8">
        <f>CHOOSE( CONTROL!$C$32, 12.403, 12.4014) * CHOOSE(CONTROL!$C$15, $D$11, 100%, $F$11)</f>
        <v>12.403</v>
      </c>
      <c r="C466" s="8">
        <f>CHOOSE( CONTROL!$C$32, 12.411, 12.4093) * CHOOSE(CONTROL!$C$15, $D$11, 100%, $F$11)</f>
        <v>12.411</v>
      </c>
      <c r="D466" s="8">
        <f>CHOOSE( CONTROL!$C$32, 12.408, 12.4063) * CHOOSE( CONTROL!$C$15, $D$11, 100%, $F$11)</f>
        <v>12.407999999999999</v>
      </c>
      <c r="E466" s="12">
        <f>CHOOSE( CONTROL!$C$32, 12.4079, 12.4062) * CHOOSE( CONTROL!$C$15, $D$11, 100%, $F$11)</f>
        <v>12.4079</v>
      </c>
      <c r="F466" s="4">
        <f>CHOOSE( CONTROL!$C$32, 13.11, 13.1083) * CHOOSE(CONTROL!$C$15, $D$11, 100%, $F$11)</f>
        <v>13.11</v>
      </c>
      <c r="G466" s="8">
        <f>CHOOSE( CONTROL!$C$32, 12.2677, 12.2661) * CHOOSE( CONTROL!$C$15, $D$11, 100%, $F$11)</f>
        <v>12.2677</v>
      </c>
      <c r="H466" s="4">
        <f>CHOOSE( CONTROL!$C$32, 13.2031, 13.2014) * CHOOSE(CONTROL!$C$15, $D$11, 100%, $F$11)</f>
        <v>13.203099999999999</v>
      </c>
      <c r="I466" s="8">
        <f>CHOOSE( CONTROL!$C$32, 12.1496, 12.148) * CHOOSE(CONTROL!$C$15, $D$11, 100%, $F$11)</f>
        <v>12.1496</v>
      </c>
      <c r="J466" s="4">
        <f>CHOOSE( CONTROL!$C$32, 12.0263, 12.0247) * CHOOSE(CONTROL!$C$15, $D$11, 100%, $F$11)</f>
        <v>12.026300000000001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1.2509999999999999</v>
      </c>
      <c r="Q466" s="9">
        <v>19.3626</v>
      </c>
      <c r="R466" s="9"/>
      <c r="S466" s="11"/>
    </row>
    <row r="467" spans="1:19" ht="15.75">
      <c r="A467" s="13">
        <v>55365</v>
      </c>
      <c r="B467" s="8">
        <f>CHOOSE( CONTROL!$C$32, 12.9362, 12.9345) * CHOOSE(CONTROL!$C$15, $D$11, 100%, $F$11)</f>
        <v>12.936199999999999</v>
      </c>
      <c r="C467" s="8">
        <f>CHOOSE( CONTROL!$C$32, 12.9441, 12.9425) * CHOOSE(CONTROL!$C$15, $D$11, 100%, $F$11)</f>
        <v>12.944100000000001</v>
      </c>
      <c r="D467" s="8">
        <f>CHOOSE( CONTROL!$C$32, 12.9414, 12.9397) * CHOOSE( CONTROL!$C$15, $D$11, 100%, $F$11)</f>
        <v>12.9414</v>
      </c>
      <c r="E467" s="12">
        <f>CHOOSE( CONTROL!$C$32, 12.9412, 12.9395) * CHOOSE( CONTROL!$C$15, $D$11, 100%, $F$11)</f>
        <v>12.9412</v>
      </c>
      <c r="F467" s="4">
        <f>CHOOSE( CONTROL!$C$32, 13.6431, 13.6415) * CHOOSE(CONTROL!$C$15, $D$11, 100%, $F$11)</f>
        <v>13.6431</v>
      </c>
      <c r="G467" s="8">
        <f>CHOOSE( CONTROL!$C$32, 12.7949, 12.7932) * CHOOSE( CONTROL!$C$15, $D$11, 100%, $F$11)</f>
        <v>12.7949</v>
      </c>
      <c r="H467" s="4">
        <f>CHOOSE( CONTROL!$C$32, 13.73, 13.7283) * CHOOSE(CONTROL!$C$15, $D$11, 100%, $F$11)</f>
        <v>13.73</v>
      </c>
      <c r="I467" s="8">
        <f>CHOOSE( CONTROL!$C$32, 12.6681, 12.6665) * CHOOSE(CONTROL!$C$15, $D$11, 100%, $F$11)</f>
        <v>12.668100000000001</v>
      </c>
      <c r="J467" s="4">
        <f>CHOOSE( CONTROL!$C$32, 12.5437, 12.5421) * CHOOSE(CONTROL!$C$15, $D$11, 100%, $F$11)</f>
        <v>12.543699999999999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1.2927</v>
      </c>
      <c r="Q467" s="9">
        <v>20.007999999999999</v>
      </c>
      <c r="R467" s="9"/>
      <c r="S467" s="11"/>
    </row>
    <row r="468" spans="1:19" ht="15.75">
      <c r="A468" s="13">
        <v>55396</v>
      </c>
      <c r="B468" s="8">
        <f>CHOOSE( CONTROL!$C$32, 11.9386, 11.9369) * CHOOSE(CONTROL!$C$15, $D$11, 100%, $F$11)</f>
        <v>11.938599999999999</v>
      </c>
      <c r="C468" s="8">
        <f>CHOOSE( CONTROL!$C$32, 11.9466, 11.9449) * CHOOSE(CONTROL!$C$15, $D$11, 100%, $F$11)</f>
        <v>11.9466</v>
      </c>
      <c r="D468" s="8">
        <f>CHOOSE( CONTROL!$C$32, 11.9439, 11.9422) * CHOOSE( CONTROL!$C$15, $D$11, 100%, $F$11)</f>
        <v>11.943899999999999</v>
      </c>
      <c r="E468" s="12">
        <f>CHOOSE( CONTROL!$C$32, 11.9437, 11.942) * CHOOSE( CONTROL!$C$15, $D$11, 100%, $F$11)</f>
        <v>11.9437</v>
      </c>
      <c r="F468" s="4">
        <f>CHOOSE( CONTROL!$C$32, 12.6455, 12.6439) * CHOOSE(CONTROL!$C$15, $D$11, 100%, $F$11)</f>
        <v>12.6455</v>
      </c>
      <c r="G468" s="8">
        <f>CHOOSE( CONTROL!$C$32, 11.809, 11.8074) * CHOOSE( CONTROL!$C$15, $D$11, 100%, $F$11)</f>
        <v>11.808999999999999</v>
      </c>
      <c r="H468" s="4">
        <f>CHOOSE( CONTROL!$C$32, 12.7441, 12.7424) * CHOOSE(CONTROL!$C$15, $D$11, 100%, $F$11)</f>
        <v>12.7441</v>
      </c>
      <c r="I468" s="8">
        <f>CHOOSE( CONTROL!$C$32, 11.6998, 11.6982) * CHOOSE(CONTROL!$C$15, $D$11, 100%, $F$11)</f>
        <v>11.6998</v>
      </c>
      <c r="J468" s="4">
        <f>CHOOSE( CONTROL!$C$32, 11.5756, 11.574) * CHOOSE(CONTROL!$C$15, $D$11, 100%, $F$11)</f>
        <v>11.5756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1.2927</v>
      </c>
      <c r="Q468" s="9">
        <v>20.007999999999999</v>
      </c>
      <c r="R468" s="9"/>
      <c r="S468" s="11"/>
    </row>
    <row r="469" spans="1:19" ht="15.75">
      <c r="A469" s="13">
        <v>55426</v>
      </c>
      <c r="B469" s="8">
        <f>CHOOSE( CONTROL!$C$32, 11.6888, 11.6871) * CHOOSE(CONTROL!$C$15, $D$11, 100%, $F$11)</f>
        <v>11.688800000000001</v>
      </c>
      <c r="C469" s="8">
        <f>CHOOSE( CONTROL!$C$32, 11.6967, 11.6951) * CHOOSE(CONTROL!$C$15, $D$11, 100%, $F$11)</f>
        <v>11.6967</v>
      </c>
      <c r="D469" s="8">
        <f>CHOOSE( CONTROL!$C$32, 11.694, 11.6923) * CHOOSE( CONTROL!$C$15, $D$11, 100%, $F$11)</f>
        <v>11.694000000000001</v>
      </c>
      <c r="E469" s="12">
        <f>CHOOSE( CONTROL!$C$32, 11.6938, 11.6921) * CHOOSE( CONTROL!$C$15, $D$11, 100%, $F$11)</f>
        <v>11.6938</v>
      </c>
      <c r="F469" s="4">
        <f>CHOOSE( CONTROL!$C$32, 12.3957, 12.3941) * CHOOSE(CONTROL!$C$15, $D$11, 100%, $F$11)</f>
        <v>12.3957</v>
      </c>
      <c r="G469" s="8">
        <f>CHOOSE( CONTROL!$C$32, 11.5621, 11.5605) * CHOOSE( CONTROL!$C$15, $D$11, 100%, $F$11)</f>
        <v>11.562099999999999</v>
      </c>
      <c r="H469" s="4">
        <f>CHOOSE( CONTROL!$C$32, 12.4972, 12.4956) * CHOOSE(CONTROL!$C$15, $D$11, 100%, $F$11)</f>
        <v>12.497199999999999</v>
      </c>
      <c r="I469" s="8">
        <f>CHOOSE( CONTROL!$C$32, 11.4571, 11.4555) * CHOOSE(CONTROL!$C$15, $D$11, 100%, $F$11)</f>
        <v>11.457100000000001</v>
      </c>
      <c r="J469" s="4">
        <f>CHOOSE( CONTROL!$C$32, 11.3331, 11.3315) * CHOOSE(CONTROL!$C$15, $D$11, 100%, $F$11)</f>
        <v>11.3331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1.2509999999999999</v>
      </c>
      <c r="Q469" s="9">
        <v>19.3626</v>
      </c>
      <c r="R469" s="9"/>
      <c r="S469" s="11"/>
    </row>
    <row r="470" spans="1:19" ht="15.75">
      <c r="A470" s="13">
        <v>55457</v>
      </c>
      <c r="B470" s="8">
        <f>CHOOSE( CONTROL!$C$32, 12.2052, 12.2041) * CHOOSE(CONTROL!$C$15, $D$11, 100%, $F$11)</f>
        <v>12.2052</v>
      </c>
      <c r="C470" s="8">
        <f>CHOOSE( CONTROL!$C$32, 12.2105, 12.2094) * CHOOSE(CONTROL!$C$15, $D$11, 100%, $F$11)</f>
        <v>12.2105</v>
      </c>
      <c r="D470" s="8">
        <f>CHOOSE( CONTROL!$C$32, 12.2134, 12.2123) * CHOOSE( CONTROL!$C$15, $D$11, 100%, $F$11)</f>
        <v>12.2134</v>
      </c>
      <c r="E470" s="12">
        <f>CHOOSE( CONTROL!$C$32, 12.2119, 12.2108) * CHOOSE( CONTROL!$C$15, $D$11, 100%, $F$11)</f>
        <v>12.2119</v>
      </c>
      <c r="F470" s="4">
        <f>CHOOSE( CONTROL!$C$32, 12.9138, 12.9127) * CHOOSE(CONTROL!$C$15, $D$11, 100%, $F$11)</f>
        <v>12.9138</v>
      </c>
      <c r="G470" s="8">
        <f>CHOOSE( CONTROL!$C$32, 12.0743, 12.0732) * CHOOSE( CONTROL!$C$15, $D$11, 100%, $F$11)</f>
        <v>12.074299999999999</v>
      </c>
      <c r="H470" s="4">
        <f>CHOOSE( CONTROL!$C$32, 13.0092, 13.0082) * CHOOSE(CONTROL!$C$15, $D$11, 100%, $F$11)</f>
        <v>13.0092</v>
      </c>
      <c r="I470" s="8">
        <f>CHOOSE( CONTROL!$C$32, 11.961, 11.9599) * CHOOSE(CONTROL!$C$15, $D$11, 100%, $F$11)</f>
        <v>11.961</v>
      </c>
      <c r="J470" s="4">
        <f>CHOOSE( CONTROL!$C$32, 11.836, 11.8349) * CHOOSE(CONTROL!$C$15, $D$11, 100%, $F$11)</f>
        <v>11.836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1.2927</v>
      </c>
      <c r="Q470" s="9">
        <v>20.007999999999999</v>
      </c>
      <c r="R470" s="9"/>
      <c r="S470" s="11"/>
    </row>
    <row r="471" spans="1:19" ht="15.75">
      <c r="A471" s="13">
        <v>55487</v>
      </c>
      <c r="B471" s="8">
        <f>CHOOSE( CONTROL!$C$32, 13.1621, 13.1611) * CHOOSE(CONTROL!$C$15, $D$11, 100%, $F$11)</f>
        <v>13.162100000000001</v>
      </c>
      <c r="C471" s="8">
        <f>CHOOSE( CONTROL!$C$32, 13.1672, 13.1661) * CHOOSE(CONTROL!$C$15, $D$11, 100%, $F$11)</f>
        <v>13.167199999999999</v>
      </c>
      <c r="D471" s="8">
        <f>CHOOSE( CONTROL!$C$32, 13.1494, 13.1483) * CHOOSE( CONTROL!$C$15, $D$11, 100%, $F$11)</f>
        <v>13.1494</v>
      </c>
      <c r="E471" s="12">
        <f>CHOOSE( CONTROL!$C$32, 13.1554, 13.1543) * CHOOSE( CONTROL!$C$15, $D$11, 100%, $F$11)</f>
        <v>13.1554</v>
      </c>
      <c r="F471" s="4">
        <f>CHOOSE( CONTROL!$C$32, 13.8274, 13.8263) * CHOOSE(CONTROL!$C$15, $D$11, 100%, $F$11)</f>
        <v>13.827400000000001</v>
      </c>
      <c r="G471" s="8">
        <f>CHOOSE( CONTROL!$C$32, 13.0196, 13.0185) * CHOOSE( CONTROL!$C$15, $D$11, 100%, $F$11)</f>
        <v>13.019600000000001</v>
      </c>
      <c r="H471" s="4">
        <f>CHOOSE( CONTROL!$C$32, 13.9121, 13.9111) * CHOOSE(CONTROL!$C$15, $D$11, 100%, $F$11)</f>
        <v>13.912100000000001</v>
      </c>
      <c r="I471" s="8">
        <f>CHOOSE( CONTROL!$C$32, 12.9523, 12.9513) * CHOOSE(CONTROL!$C$15, $D$11, 100%, $F$11)</f>
        <v>12.952299999999999</v>
      </c>
      <c r="J471" s="4">
        <f>CHOOSE( CONTROL!$C$32, 12.7651, 12.7641) * CHOOSE(CONTROL!$C$15, $D$11, 100%, $F$11)</f>
        <v>12.7651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19.3626</v>
      </c>
      <c r="R471" s="9"/>
      <c r="S471" s="11"/>
    </row>
    <row r="472" spans="1:19" ht="15.75">
      <c r="A472" s="13">
        <v>55518</v>
      </c>
      <c r="B472" s="8">
        <f>CHOOSE( CONTROL!$C$32, 13.1382, 13.1371) * CHOOSE(CONTROL!$C$15, $D$11, 100%, $F$11)</f>
        <v>13.138199999999999</v>
      </c>
      <c r="C472" s="8">
        <f>CHOOSE( CONTROL!$C$32, 13.1433, 13.1422) * CHOOSE(CONTROL!$C$15, $D$11, 100%, $F$11)</f>
        <v>13.1433</v>
      </c>
      <c r="D472" s="8">
        <f>CHOOSE( CONTROL!$C$32, 13.1269, 13.1258) * CHOOSE( CONTROL!$C$15, $D$11, 100%, $F$11)</f>
        <v>13.126899999999999</v>
      </c>
      <c r="E472" s="12">
        <f>CHOOSE( CONTROL!$C$32, 13.1324, 13.1313) * CHOOSE( CONTROL!$C$15, $D$11, 100%, $F$11)</f>
        <v>13.132400000000001</v>
      </c>
      <c r="F472" s="4">
        <f>CHOOSE( CONTROL!$C$32, 13.8035, 13.8024) * CHOOSE(CONTROL!$C$15, $D$11, 100%, $F$11)</f>
        <v>13.8035</v>
      </c>
      <c r="G472" s="8">
        <f>CHOOSE( CONTROL!$C$32, 12.997, 12.9959) * CHOOSE( CONTROL!$C$15, $D$11, 100%, $F$11)</f>
        <v>12.997</v>
      </c>
      <c r="H472" s="4">
        <f>CHOOSE( CONTROL!$C$32, 13.8885, 13.8874) * CHOOSE(CONTROL!$C$15, $D$11, 100%, $F$11)</f>
        <v>13.888500000000001</v>
      </c>
      <c r="I472" s="8">
        <f>CHOOSE( CONTROL!$C$32, 12.9336, 12.9325) * CHOOSE(CONTROL!$C$15, $D$11, 100%, $F$11)</f>
        <v>12.9336</v>
      </c>
      <c r="J472" s="4">
        <f>CHOOSE( CONTROL!$C$32, 12.7419, 12.7408) * CHOOSE(CONTROL!$C$15, $D$11, 100%, $F$11)</f>
        <v>12.741899999999999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20.007999999999999</v>
      </c>
      <c r="R472" s="9"/>
      <c r="S472" s="11"/>
    </row>
    <row r="473" spans="1:19" ht="15.75">
      <c r="A473" s="13">
        <v>55549</v>
      </c>
      <c r="B473" s="8">
        <f>CHOOSE( CONTROL!$C$32, 13.5255, 13.5244) * CHOOSE(CONTROL!$C$15, $D$11, 100%, $F$11)</f>
        <v>13.525499999999999</v>
      </c>
      <c r="C473" s="8">
        <f>CHOOSE( CONTROL!$C$32, 13.5305, 13.5295) * CHOOSE(CONTROL!$C$15, $D$11, 100%, $F$11)</f>
        <v>13.5305</v>
      </c>
      <c r="D473" s="8">
        <f>CHOOSE( CONTROL!$C$32, 13.5093, 13.5082) * CHOOSE( CONTROL!$C$15, $D$11, 100%, $F$11)</f>
        <v>13.5093</v>
      </c>
      <c r="E473" s="12">
        <f>CHOOSE( CONTROL!$C$32, 13.5165, 13.5154) * CHOOSE( CONTROL!$C$15, $D$11, 100%, $F$11)</f>
        <v>13.516500000000001</v>
      </c>
      <c r="F473" s="4">
        <f>CHOOSE( CONTROL!$C$32, 14.1907, 14.1897) * CHOOSE(CONTROL!$C$15, $D$11, 100%, $F$11)</f>
        <v>14.1907</v>
      </c>
      <c r="G473" s="8">
        <f>CHOOSE( CONTROL!$C$32, 13.3692, 13.3681) * CHOOSE( CONTROL!$C$15, $D$11, 100%, $F$11)</f>
        <v>13.369199999999999</v>
      </c>
      <c r="H473" s="4">
        <f>CHOOSE( CONTROL!$C$32, 14.2712, 14.2701) * CHOOSE(CONTROL!$C$15, $D$11, 100%, $F$11)</f>
        <v>14.2712</v>
      </c>
      <c r="I473" s="8">
        <f>CHOOSE( CONTROL!$C$32, 13.2716, 13.2706) * CHOOSE(CONTROL!$C$15, $D$11, 100%, $F$11)</f>
        <v>13.271599999999999</v>
      </c>
      <c r="J473" s="4">
        <f>CHOOSE( CONTROL!$C$32, 13.1177, 13.1167) * CHOOSE(CONTROL!$C$15, $D$11, 100%, $F$11)</f>
        <v>13.117699999999999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19.942900000000002</v>
      </c>
      <c r="R473" s="9"/>
      <c r="S473" s="11"/>
    </row>
    <row r="474" spans="1:19" ht="15.75">
      <c r="A474" s="13">
        <v>55577</v>
      </c>
      <c r="B474" s="8">
        <f>CHOOSE( CONTROL!$C$32, 12.6517, 12.6506) * CHOOSE(CONTROL!$C$15, $D$11, 100%, $F$11)</f>
        <v>12.6517</v>
      </c>
      <c r="C474" s="8">
        <f>CHOOSE( CONTROL!$C$32, 12.6568, 12.6557) * CHOOSE(CONTROL!$C$15, $D$11, 100%, $F$11)</f>
        <v>12.6568</v>
      </c>
      <c r="D474" s="8">
        <f>CHOOSE( CONTROL!$C$32, 12.6354, 12.6343) * CHOOSE( CONTROL!$C$15, $D$11, 100%, $F$11)</f>
        <v>12.635400000000001</v>
      </c>
      <c r="E474" s="12">
        <f>CHOOSE( CONTROL!$C$32, 12.6427, 12.6416) * CHOOSE( CONTROL!$C$15, $D$11, 100%, $F$11)</f>
        <v>12.6427</v>
      </c>
      <c r="F474" s="4">
        <f>CHOOSE( CONTROL!$C$32, 13.317, 13.3159) * CHOOSE(CONTROL!$C$15, $D$11, 100%, $F$11)</f>
        <v>13.317</v>
      </c>
      <c r="G474" s="8">
        <f>CHOOSE( CONTROL!$C$32, 12.5056, 12.5045) * CHOOSE( CONTROL!$C$15, $D$11, 100%, $F$11)</f>
        <v>12.505599999999999</v>
      </c>
      <c r="H474" s="4">
        <f>CHOOSE( CONTROL!$C$32, 13.4077, 13.4066) * CHOOSE(CONTROL!$C$15, $D$11, 100%, $F$11)</f>
        <v>13.4077</v>
      </c>
      <c r="I474" s="8">
        <f>CHOOSE( CONTROL!$C$32, 12.4228, 12.4218) * CHOOSE(CONTROL!$C$15, $D$11, 100%, $F$11)</f>
        <v>12.422800000000001</v>
      </c>
      <c r="J474" s="4">
        <f>CHOOSE( CONTROL!$C$32, 12.2697, 12.2687) * CHOOSE(CONTROL!$C$15, $D$11, 100%, $F$11)</f>
        <v>12.2697</v>
      </c>
      <c r="K474" s="4"/>
      <c r="L474" s="9">
        <v>27.415299999999998</v>
      </c>
      <c r="M474" s="9">
        <v>11.285299999999999</v>
      </c>
      <c r="N474" s="9">
        <v>4.6254999999999997</v>
      </c>
      <c r="O474" s="9">
        <v>0.34989999999999999</v>
      </c>
      <c r="P474" s="9">
        <v>1.2093</v>
      </c>
      <c r="Q474" s="9">
        <v>18.656300000000002</v>
      </c>
      <c r="R474" s="9"/>
      <c r="S474" s="11"/>
    </row>
    <row r="475" spans="1:19" ht="15.75">
      <c r="A475" s="13">
        <v>55609</v>
      </c>
      <c r="B475" s="8">
        <f>CHOOSE( CONTROL!$C$32, 12.3826, 12.3815) * CHOOSE(CONTROL!$C$15, $D$11, 100%, $F$11)</f>
        <v>12.3826</v>
      </c>
      <c r="C475" s="8">
        <f>CHOOSE( CONTROL!$C$32, 12.3877, 12.3866) * CHOOSE(CONTROL!$C$15, $D$11, 100%, $F$11)</f>
        <v>12.387700000000001</v>
      </c>
      <c r="D475" s="8">
        <f>CHOOSE( CONTROL!$C$32, 12.3656, 12.3645) * CHOOSE( CONTROL!$C$15, $D$11, 100%, $F$11)</f>
        <v>12.365600000000001</v>
      </c>
      <c r="E475" s="12">
        <f>CHOOSE( CONTROL!$C$32, 12.3731, 12.372) * CHOOSE( CONTROL!$C$15, $D$11, 100%, $F$11)</f>
        <v>12.373100000000001</v>
      </c>
      <c r="F475" s="4">
        <f>CHOOSE( CONTROL!$C$32, 13.0479, 13.0468) * CHOOSE(CONTROL!$C$15, $D$11, 100%, $F$11)</f>
        <v>13.0479</v>
      </c>
      <c r="G475" s="8">
        <f>CHOOSE( CONTROL!$C$32, 12.2392, 12.2381) * CHOOSE( CONTROL!$C$15, $D$11, 100%, $F$11)</f>
        <v>12.2392</v>
      </c>
      <c r="H475" s="4">
        <f>CHOOSE( CONTROL!$C$32, 13.1417, 13.1407) * CHOOSE(CONTROL!$C$15, $D$11, 100%, $F$11)</f>
        <v>13.1417</v>
      </c>
      <c r="I475" s="8">
        <f>CHOOSE( CONTROL!$C$32, 12.1595, 12.1585) * CHOOSE(CONTROL!$C$15, $D$11, 100%, $F$11)</f>
        <v>12.1595</v>
      </c>
      <c r="J475" s="4">
        <f>CHOOSE( CONTROL!$C$32, 12.0086, 12.0075) * CHOOSE(CONTROL!$C$15, $D$11, 100%, $F$11)</f>
        <v>12.008599999999999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19.942900000000002</v>
      </c>
      <c r="R475" s="9"/>
      <c r="S475" s="11"/>
    </row>
    <row r="476" spans="1:19" ht="15.75">
      <c r="A476" s="13">
        <v>55639</v>
      </c>
      <c r="B476" s="8">
        <f>CHOOSE( CONTROL!$C$32, 12.5714, 12.5703) * CHOOSE(CONTROL!$C$15, $D$11, 100%, $F$11)</f>
        <v>12.571400000000001</v>
      </c>
      <c r="C476" s="8">
        <f>CHOOSE( CONTROL!$C$32, 12.5759, 12.5748) * CHOOSE(CONTROL!$C$15, $D$11, 100%, $F$11)</f>
        <v>12.575900000000001</v>
      </c>
      <c r="D476" s="8">
        <f>CHOOSE( CONTROL!$C$32, 12.5788, 12.5777) * CHOOSE( CONTROL!$C$15, $D$11, 100%, $F$11)</f>
        <v>12.578799999999999</v>
      </c>
      <c r="E476" s="12">
        <f>CHOOSE( CONTROL!$C$32, 12.5773, 12.5762) * CHOOSE( CONTROL!$C$15, $D$11, 100%, $F$11)</f>
        <v>12.577299999999999</v>
      </c>
      <c r="F476" s="4">
        <f>CHOOSE( CONTROL!$C$32, 13.2797, 13.2786) * CHOOSE(CONTROL!$C$15, $D$11, 100%, $F$11)</f>
        <v>13.2797</v>
      </c>
      <c r="G476" s="8">
        <f>CHOOSE( CONTROL!$C$32, 12.4355, 12.4344) * CHOOSE( CONTROL!$C$15, $D$11, 100%, $F$11)</f>
        <v>12.435499999999999</v>
      </c>
      <c r="H476" s="4">
        <f>CHOOSE( CONTROL!$C$32, 13.3709, 13.3698) * CHOOSE(CONTROL!$C$15, $D$11, 100%, $F$11)</f>
        <v>13.370900000000001</v>
      </c>
      <c r="I476" s="8">
        <f>CHOOSE( CONTROL!$C$32, 12.3144, 12.3133) * CHOOSE(CONTROL!$C$15, $D$11, 100%, $F$11)</f>
        <v>12.314399999999999</v>
      </c>
      <c r="J476" s="4">
        <f>CHOOSE( CONTROL!$C$32, 12.1911, 12.19) * CHOOSE(CONTROL!$C$15, $D$11, 100%, $F$11)</f>
        <v>12.1911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1.2509999999999999</v>
      </c>
      <c r="Q476" s="9">
        <v>19.299600000000002</v>
      </c>
      <c r="R476" s="9"/>
      <c r="S476" s="11"/>
    </row>
    <row r="477" spans="1:19" ht="15.75">
      <c r="A477" s="13">
        <v>55670</v>
      </c>
      <c r="B477" s="8">
        <f>CHOOSE( CONTROL!$C$32, 12.908, 12.9064) * CHOOSE(CONTROL!$C$15, $D$11, 100%, $F$11)</f>
        <v>12.907999999999999</v>
      </c>
      <c r="C477" s="8">
        <f>CHOOSE( CONTROL!$C$32, 12.916, 12.9144) * CHOOSE(CONTROL!$C$15, $D$11, 100%, $F$11)</f>
        <v>12.916</v>
      </c>
      <c r="D477" s="8">
        <f>CHOOSE( CONTROL!$C$32, 12.9128, 12.9111) * CHOOSE( CONTROL!$C$15, $D$11, 100%, $F$11)</f>
        <v>12.912800000000001</v>
      </c>
      <c r="E477" s="12">
        <f>CHOOSE( CONTROL!$C$32, 12.9127, 12.9111) * CHOOSE( CONTROL!$C$15, $D$11, 100%, $F$11)</f>
        <v>12.912699999999999</v>
      </c>
      <c r="F477" s="4">
        <f>CHOOSE( CONTROL!$C$32, 13.615, 13.6133) * CHOOSE(CONTROL!$C$15, $D$11, 100%, $F$11)</f>
        <v>13.615</v>
      </c>
      <c r="G477" s="8">
        <f>CHOOSE( CONTROL!$C$32, 12.7667, 12.765) * CHOOSE( CONTROL!$C$15, $D$11, 100%, $F$11)</f>
        <v>12.7667</v>
      </c>
      <c r="H477" s="4">
        <f>CHOOSE( CONTROL!$C$32, 13.7022, 13.7006) * CHOOSE(CONTROL!$C$15, $D$11, 100%, $F$11)</f>
        <v>13.702199999999999</v>
      </c>
      <c r="I477" s="8">
        <f>CHOOSE( CONTROL!$C$32, 12.6392, 12.6376) * CHOOSE(CONTROL!$C$15, $D$11, 100%, $F$11)</f>
        <v>12.639200000000001</v>
      </c>
      <c r="J477" s="4">
        <f>CHOOSE( CONTROL!$C$32, 12.5164, 12.5148) * CHOOSE(CONTROL!$C$15, $D$11, 100%, $F$11)</f>
        <v>12.516400000000001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1.2927</v>
      </c>
      <c r="Q477" s="9">
        <v>19.942900000000002</v>
      </c>
      <c r="R477" s="9"/>
      <c r="S477" s="11"/>
    </row>
    <row r="478" spans="1:19" ht="15.75">
      <c r="A478" s="13">
        <v>55700</v>
      </c>
      <c r="B478" s="8">
        <f>CHOOSE( CONTROL!$C$32, 12.7007, 12.6991) * CHOOSE(CONTROL!$C$15, $D$11, 100%, $F$11)</f>
        <v>12.700699999999999</v>
      </c>
      <c r="C478" s="8">
        <f>CHOOSE( CONTROL!$C$32, 12.7087, 12.707) * CHOOSE(CONTROL!$C$15, $D$11, 100%, $F$11)</f>
        <v>12.7087</v>
      </c>
      <c r="D478" s="8">
        <f>CHOOSE( CONTROL!$C$32, 12.7057, 12.704) * CHOOSE( CONTROL!$C$15, $D$11, 100%, $F$11)</f>
        <v>12.7057</v>
      </c>
      <c r="E478" s="12">
        <f>CHOOSE( CONTROL!$C$32, 12.7056, 12.7039) * CHOOSE( CONTROL!$C$15, $D$11, 100%, $F$11)</f>
        <v>12.7056</v>
      </c>
      <c r="F478" s="4">
        <f>CHOOSE( CONTROL!$C$32, 13.4077, 13.406) * CHOOSE(CONTROL!$C$15, $D$11, 100%, $F$11)</f>
        <v>13.4077</v>
      </c>
      <c r="G478" s="8">
        <f>CHOOSE( CONTROL!$C$32, 12.562, 12.5603) * CHOOSE( CONTROL!$C$15, $D$11, 100%, $F$11)</f>
        <v>12.561999999999999</v>
      </c>
      <c r="H478" s="4">
        <f>CHOOSE( CONTROL!$C$32, 13.4973, 13.4957) * CHOOSE(CONTROL!$C$15, $D$11, 100%, $F$11)</f>
        <v>13.497299999999999</v>
      </c>
      <c r="I478" s="8">
        <f>CHOOSE( CONTROL!$C$32, 12.4386, 12.437) * CHOOSE(CONTROL!$C$15, $D$11, 100%, $F$11)</f>
        <v>12.438599999999999</v>
      </c>
      <c r="J478" s="4">
        <f>CHOOSE( CONTROL!$C$32, 12.3152, 12.3136) * CHOOSE(CONTROL!$C$15, $D$11, 100%, $F$11)</f>
        <v>12.315200000000001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1.2509999999999999</v>
      </c>
      <c r="Q478" s="9">
        <v>19.299600000000002</v>
      </c>
      <c r="R478" s="9"/>
      <c r="S478" s="11"/>
    </row>
    <row r="479" spans="1:19" ht="15.75">
      <c r="A479" s="13">
        <v>55731</v>
      </c>
      <c r="B479" s="8">
        <f>CHOOSE( CONTROL!$C$32, 13.2467, 13.245) * CHOOSE(CONTROL!$C$15, $D$11, 100%, $F$11)</f>
        <v>13.246700000000001</v>
      </c>
      <c r="C479" s="8">
        <f>CHOOSE( CONTROL!$C$32, 13.2547, 13.253) * CHOOSE(CONTROL!$C$15, $D$11, 100%, $F$11)</f>
        <v>13.2547</v>
      </c>
      <c r="D479" s="8">
        <f>CHOOSE( CONTROL!$C$32, 13.2519, 13.2502) * CHOOSE( CONTROL!$C$15, $D$11, 100%, $F$11)</f>
        <v>13.251899999999999</v>
      </c>
      <c r="E479" s="12">
        <f>CHOOSE( CONTROL!$C$32, 13.2517, 13.25) * CHOOSE( CONTROL!$C$15, $D$11, 100%, $F$11)</f>
        <v>13.2517</v>
      </c>
      <c r="F479" s="4">
        <f>CHOOSE( CONTROL!$C$32, 13.9536, 13.952) * CHOOSE(CONTROL!$C$15, $D$11, 100%, $F$11)</f>
        <v>13.9536</v>
      </c>
      <c r="G479" s="8">
        <f>CHOOSE( CONTROL!$C$32, 13.1017, 13.1001) * CHOOSE( CONTROL!$C$15, $D$11, 100%, $F$11)</f>
        <v>13.101699999999999</v>
      </c>
      <c r="H479" s="4">
        <f>CHOOSE( CONTROL!$C$32, 14.0369, 14.0352) * CHOOSE(CONTROL!$C$15, $D$11, 100%, $F$11)</f>
        <v>14.036899999999999</v>
      </c>
      <c r="I479" s="8">
        <f>CHOOSE( CONTROL!$C$32, 12.9696, 12.968) * CHOOSE(CONTROL!$C$15, $D$11, 100%, $F$11)</f>
        <v>12.9696</v>
      </c>
      <c r="J479" s="4">
        <f>CHOOSE( CONTROL!$C$32, 12.8451, 12.8435) * CHOOSE(CONTROL!$C$15, $D$11, 100%, $F$11)</f>
        <v>12.8451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1.2927</v>
      </c>
      <c r="Q479" s="9">
        <v>19.942900000000002</v>
      </c>
      <c r="R479" s="9"/>
      <c r="S479" s="11"/>
    </row>
    <row r="480" spans="1:19" ht="15.75">
      <c r="A480" s="13">
        <v>55762</v>
      </c>
      <c r="B480" s="8">
        <f>CHOOSE( CONTROL!$C$32, 12.2251, 12.2235) * CHOOSE(CONTROL!$C$15, $D$11, 100%, $F$11)</f>
        <v>12.225099999999999</v>
      </c>
      <c r="C480" s="8">
        <f>CHOOSE( CONTROL!$C$32, 12.2331, 12.2314) * CHOOSE(CONTROL!$C$15, $D$11, 100%, $F$11)</f>
        <v>12.2331</v>
      </c>
      <c r="D480" s="8">
        <f>CHOOSE( CONTROL!$C$32, 12.2304, 12.2288) * CHOOSE( CONTROL!$C$15, $D$11, 100%, $F$11)</f>
        <v>12.230399999999999</v>
      </c>
      <c r="E480" s="12">
        <f>CHOOSE( CONTROL!$C$32, 12.2302, 12.2285) * CHOOSE( CONTROL!$C$15, $D$11, 100%, $F$11)</f>
        <v>12.2302</v>
      </c>
      <c r="F480" s="4">
        <f>CHOOSE( CONTROL!$C$32, 12.9321, 12.9304) * CHOOSE(CONTROL!$C$15, $D$11, 100%, $F$11)</f>
        <v>12.9321</v>
      </c>
      <c r="G480" s="8">
        <f>CHOOSE( CONTROL!$C$32, 12.0922, 12.0906) * CHOOSE( CONTROL!$C$15, $D$11, 100%, $F$11)</f>
        <v>12.0922</v>
      </c>
      <c r="H480" s="4">
        <f>CHOOSE( CONTROL!$C$32, 13.0273, 13.0256) * CHOOSE(CONTROL!$C$15, $D$11, 100%, $F$11)</f>
        <v>13.0273</v>
      </c>
      <c r="I480" s="8">
        <f>CHOOSE( CONTROL!$C$32, 11.978, 11.9764) * CHOOSE(CONTROL!$C$15, $D$11, 100%, $F$11)</f>
        <v>11.978</v>
      </c>
      <c r="J480" s="4">
        <f>CHOOSE( CONTROL!$C$32, 11.8537, 11.8521) * CHOOSE(CONTROL!$C$15, $D$11, 100%, $F$11)</f>
        <v>11.8537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1.2927</v>
      </c>
      <c r="Q480" s="9">
        <v>19.942900000000002</v>
      </c>
      <c r="R480" s="9"/>
      <c r="S480" s="11"/>
    </row>
    <row r="481" spans="1:19" ht="15.75">
      <c r="A481" s="13">
        <v>55792</v>
      </c>
      <c r="B481" s="8">
        <f>CHOOSE( CONTROL!$C$32, 11.9693, 11.9677) * CHOOSE(CONTROL!$C$15, $D$11, 100%, $F$11)</f>
        <v>11.9693</v>
      </c>
      <c r="C481" s="8">
        <f>CHOOSE( CONTROL!$C$32, 11.9773, 11.9756) * CHOOSE(CONTROL!$C$15, $D$11, 100%, $F$11)</f>
        <v>11.9773</v>
      </c>
      <c r="D481" s="8">
        <f>CHOOSE( CONTROL!$C$32, 11.9745, 11.9729) * CHOOSE( CONTROL!$C$15, $D$11, 100%, $F$11)</f>
        <v>11.974500000000001</v>
      </c>
      <c r="E481" s="12">
        <f>CHOOSE( CONTROL!$C$32, 11.9743, 11.9727) * CHOOSE( CONTROL!$C$15, $D$11, 100%, $F$11)</f>
        <v>11.974299999999999</v>
      </c>
      <c r="F481" s="4">
        <f>CHOOSE( CONTROL!$C$32, 12.6763, 12.6746) * CHOOSE(CONTROL!$C$15, $D$11, 100%, $F$11)</f>
        <v>12.676299999999999</v>
      </c>
      <c r="G481" s="8">
        <f>CHOOSE( CONTROL!$C$32, 11.8394, 11.8377) * CHOOSE( CONTROL!$C$15, $D$11, 100%, $F$11)</f>
        <v>11.839399999999999</v>
      </c>
      <c r="H481" s="4">
        <f>CHOOSE( CONTROL!$C$32, 12.7745, 12.7728) * CHOOSE(CONTROL!$C$15, $D$11, 100%, $F$11)</f>
        <v>12.7745</v>
      </c>
      <c r="I481" s="8">
        <f>CHOOSE( CONTROL!$C$32, 11.7295, 11.7279) * CHOOSE(CONTROL!$C$15, $D$11, 100%, $F$11)</f>
        <v>11.7295</v>
      </c>
      <c r="J481" s="4">
        <f>CHOOSE( CONTROL!$C$32, 11.6054, 11.6038) * CHOOSE(CONTROL!$C$15, $D$11, 100%, $F$11)</f>
        <v>11.605399999999999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1.2509999999999999</v>
      </c>
      <c r="Q481" s="9">
        <v>19.299600000000002</v>
      </c>
      <c r="R481" s="9"/>
      <c r="S481" s="11"/>
    </row>
    <row r="482" spans="1:19" ht="15.75">
      <c r="A482" s="13">
        <v>55823</v>
      </c>
      <c r="B482" s="8">
        <f>CHOOSE( CONTROL!$C$32, 12.4982, 12.4971) * CHOOSE(CONTROL!$C$15, $D$11, 100%, $F$11)</f>
        <v>12.498200000000001</v>
      </c>
      <c r="C482" s="8">
        <f>CHOOSE( CONTROL!$C$32, 12.5035, 12.5024) * CHOOSE(CONTROL!$C$15, $D$11, 100%, $F$11)</f>
        <v>12.503500000000001</v>
      </c>
      <c r="D482" s="8">
        <f>CHOOSE( CONTROL!$C$32, 12.5064, 12.5053) * CHOOSE( CONTROL!$C$15, $D$11, 100%, $F$11)</f>
        <v>12.506399999999999</v>
      </c>
      <c r="E482" s="12">
        <f>CHOOSE( CONTROL!$C$32, 12.5049, 12.5038) * CHOOSE( CONTROL!$C$15, $D$11, 100%, $F$11)</f>
        <v>12.504899999999999</v>
      </c>
      <c r="F482" s="4">
        <f>CHOOSE( CONTROL!$C$32, 13.2068, 13.2058) * CHOOSE(CONTROL!$C$15, $D$11, 100%, $F$11)</f>
        <v>13.206799999999999</v>
      </c>
      <c r="G482" s="8">
        <f>CHOOSE( CONTROL!$C$32, 12.3639, 12.3628) * CHOOSE( CONTROL!$C$15, $D$11, 100%, $F$11)</f>
        <v>12.363899999999999</v>
      </c>
      <c r="H482" s="4">
        <f>CHOOSE( CONTROL!$C$32, 13.2988, 13.2977) * CHOOSE(CONTROL!$C$15, $D$11, 100%, $F$11)</f>
        <v>13.2988</v>
      </c>
      <c r="I482" s="8">
        <f>CHOOSE( CONTROL!$C$32, 12.2455, 12.2444) * CHOOSE(CONTROL!$C$15, $D$11, 100%, $F$11)</f>
        <v>12.2455</v>
      </c>
      <c r="J482" s="4">
        <f>CHOOSE( CONTROL!$C$32, 12.1203, 12.1193) * CHOOSE(CONTROL!$C$15, $D$11, 100%, $F$11)</f>
        <v>12.1203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1.2927</v>
      </c>
      <c r="Q482" s="9">
        <v>19.942900000000002</v>
      </c>
      <c r="R482" s="9"/>
      <c r="S482" s="11"/>
    </row>
    <row r="483" spans="1:19" ht="15.75">
      <c r="A483" s="13">
        <v>55853</v>
      </c>
      <c r="B483" s="8">
        <f>CHOOSE( CONTROL!$C$32, 13.4782, 13.4771) * CHOOSE(CONTROL!$C$15, $D$11, 100%, $F$11)</f>
        <v>13.478199999999999</v>
      </c>
      <c r="C483" s="8">
        <f>CHOOSE( CONTROL!$C$32, 13.4832, 13.4822) * CHOOSE(CONTROL!$C$15, $D$11, 100%, $F$11)</f>
        <v>13.4832</v>
      </c>
      <c r="D483" s="8">
        <f>CHOOSE( CONTROL!$C$32, 13.4654, 13.4643) * CHOOSE( CONTROL!$C$15, $D$11, 100%, $F$11)</f>
        <v>13.465400000000001</v>
      </c>
      <c r="E483" s="12">
        <f>CHOOSE( CONTROL!$C$32, 13.4714, 13.4703) * CHOOSE( CONTROL!$C$15, $D$11, 100%, $F$11)</f>
        <v>13.471399999999999</v>
      </c>
      <c r="F483" s="4">
        <f>CHOOSE( CONTROL!$C$32, 14.1434, 14.1424) * CHOOSE(CONTROL!$C$15, $D$11, 100%, $F$11)</f>
        <v>14.1434</v>
      </c>
      <c r="G483" s="8">
        <f>CHOOSE( CONTROL!$C$32, 13.3319, 13.3308) * CHOOSE( CONTROL!$C$15, $D$11, 100%, $F$11)</f>
        <v>13.331899999999999</v>
      </c>
      <c r="H483" s="4">
        <f>CHOOSE( CONTROL!$C$32, 14.2245, 14.2234) * CHOOSE(CONTROL!$C$15, $D$11, 100%, $F$11)</f>
        <v>14.224500000000001</v>
      </c>
      <c r="I483" s="8">
        <f>CHOOSE( CONTROL!$C$32, 13.2592, 13.2581) * CHOOSE(CONTROL!$C$15, $D$11, 100%, $F$11)</f>
        <v>13.2592</v>
      </c>
      <c r="J483" s="4">
        <f>CHOOSE( CONTROL!$C$32, 13.0718, 13.0707) * CHOOSE(CONTROL!$C$15, $D$11, 100%, $F$11)</f>
        <v>13.0718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19.299600000000002</v>
      </c>
      <c r="R483" s="9"/>
      <c r="S483" s="11"/>
    </row>
    <row r="484" spans="1:19" ht="15.75">
      <c r="A484" s="13">
        <v>55884</v>
      </c>
      <c r="B484" s="8">
        <f>CHOOSE( CONTROL!$C$32, 13.4537, 13.4526) * CHOOSE(CONTROL!$C$15, $D$11, 100%, $F$11)</f>
        <v>13.4537</v>
      </c>
      <c r="C484" s="8">
        <f>CHOOSE( CONTROL!$C$32, 13.4587, 13.4577) * CHOOSE(CONTROL!$C$15, $D$11, 100%, $F$11)</f>
        <v>13.4587</v>
      </c>
      <c r="D484" s="8">
        <f>CHOOSE( CONTROL!$C$32, 13.4424, 13.4413) * CHOOSE( CONTROL!$C$15, $D$11, 100%, $F$11)</f>
        <v>13.442399999999999</v>
      </c>
      <c r="E484" s="12">
        <f>CHOOSE( CONTROL!$C$32, 13.4478, 13.4468) * CHOOSE( CONTROL!$C$15, $D$11, 100%, $F$11)</f>
        <v>13.447800000000001</v>
      </c>
      <c r="F484" s="4">
        <f>CHOOSE( CONTROL!$C$32, 14.1189, 14.1179) * CHOOSE(CONTROL!$C$15, $D$11, 100%, $F$11)</f>
        <v>14.1189</v>
      </c>
      <c r="G484" s="8">
        <f>CHOOSE( CONTROL!$C$32, 13.3087, 13.3076) * CHOOSE( CONTROL!$C$15, $D$11, 100%, $F$11)</f>
        <v>13.3087</v>
      </c>
      <c r="H484" s="4">
        <f>CHOOSE( CONTROL!$C$32, 14.2002, 14.1992) * CHOOSE(CONTROL!$C$15, $D$11, 100%, $F$11)</f>
        <v>14.200200000000001</v>
      </c>
      <c r="I484" s="8">
        <f>CHOOSE( CONTROL!$C$32, 13.2398, 13.2388) * CHOOSE(CONTROL!$C$15, $D$11, 100%, $F$11)</f>
        <v>13.239800000000001</v>
      </c>
      <c r="J484" s="4">
        <f>CHOOSE( CONTROL!$C$32, 13.048, 13.047) * CHOOSE(CONTROL!$C$15, $D$11, 100%, $F$11)</f>
        <v>13.048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19.942900000000002</v>
      </c>
      <c r="R484" s="9"/>
      <c r="S484" s="11"/>
    </row>
    <row r="485" spans="1:19" ht="15.75">
      <c r="A485" s="13">
        <v>55915</v>
      </c>
      <c r="B485" s="8">
        <f>CHOOSE( CONTROL!$C$32, 13.8502, 13.8491) * CHOOSE(CONTROL!$C$15, $D$11, 100%, $F$11)</f>
        <v>13.850199999999999</v>
      </c>
      <c r="C485" s="8">
        <f>CHOOSE( CONTROL!$C$32, 13.8553, 13.8542) * CHOOSE(CONTROL!$C$15, $D$11, 100%, $F$11)</f>
        <v>13.8553</v>
      </c>
      <c r="D485" s="8">
        <f>CHOOSE( CONTROL!$C$32, 13.834, 13.8329) * CHOOSE( CONTROL!$C$15, $D$11, 100%, $F$11)</f>
        <v>13.834</v>
      </c>
      <c r="E485" s="12">
        <f>CHOOSE( CONTROL!$C$32, 13.8412, 13.8401) * CHOOSE( CONTROL!$C$15, $D$11, 100%, $F$11)</f>
        <v>13.841200000000001</v>
      </c>
      <c r="F485" s="4">
        <f>CHOOSE( CONTROL!$C$32, 14.5155, 14.5144) * CHOOSE(CONTROL!$C$15, $D$11, 100%, $F$11)</f>
        <v>14.515499999999999</v>
      </c>
      <c r="G485" s="8">
        <f>CHOOSE( CONTROL!$C$32, 13.6901, 13.6891) * CHOOSE( CONTROL!$C$15, $D$11, 100%, $F$11)</f>
        <v>13.690099999999999</v>
      </c>
      <c r="H485" s="4">
        <f>CHOOSE( CONTROL!$C$32, 14.5921, 14.5911) * CHOOSE(CONTROL!$C$15, $D$11, 100%, $F$11)</f>
        <v>14.5921</v>
      </c>
      <c r="I485" s="8">
        <f>CHOOSE( CONTROL!$C$32, 13.5869, 13.5859) * CHOOSE(CONTROL!$C$15, $D$11, 100%, $F$11)</f>
        <v>13.5869</v>
      </c>
      <c r="J485" s="4">
        <f>CHOOSE( CONTROL!$C$32, 13.4329, 13.4318) * CHOOSE(CONTROL!$C$15, $D$11, 100%, $F$11)</f>
        <v>13.4329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19.877800000000001</v>
      </c>
      <c r="R485" s="9"/>
      <c r="S485" s="11"/>
    </row>
    <row r="486" spans="1:19" ht="15.75">
      <c r="A486" s="13">
        <v>55943</v>
      </c>
      <c r="B486" s="8">
        <f>CHOOSE( CONTROL!$C$32, 12.9555, 12.9544) * CHOOSE(CONTROL!$C$15, $D$11, 100%, $F$11)</f>
        <v>12.955500000000001</v>
      </c>
      <c r="C486" s="8">
        <f>CHOOSE( CONTROL!$C$32, 12.9605, 12.9595) * CHOOSE(CONTROL!$C$15, $D$11, 100%, $F$11)</f>
        <v>12.9605</v>
      </c>
      <c r="D486" s="8">
        <f>CHOOSE( CONTROL!$C$32, 12.9391, 12.938) * CHOOSE( CONTROL!$C$15, $D$11, 100%, $F$11)</f>
        <v>12.9391</v>
      </c>
      <c r="E486" s="12">
        <f>CHOOSE( CONTROL!$C$32, 12.9464, 12.9453) * CHOOSE( CONTROL!$C$15, $D$11, 100%, $F$11)</f>
        <v>12.946400000000001</v>
      </c>
      <c r="F486" s="4">
        <f>CHOOSE( CONTROL!$C$32, 13.6207, 13.6197) * CHOOSE(CONTROL!$C$15, $D$11, 100%, $F$11)</f>
        <v>13.620699999999999</v>
      </c>
      <c r="G486" s="8">
        <f>CHOOSE( CONTROL!$C$32, 12.8058, 12.8047) * CHOOSE( CONTROL!$C$15, $D$11, 100%, $F$11)</f>
        <v>12.8058</v>
      </c>
      <c r="H486" s="4">
        <f>CHOOSE( CONTROL!$C$32, 13.7079, 13.7068) * CHOOSE(CONTROL!$C$15, $D$11, 100%, $F$11)</f>
        <v>13.7079</v>
      </c>
      <c r="I486" s="8">
        <f>CHOOSE( CONTROL!$C$32, 12.7177, 12.7167) * CHOOSE(CONTROL!$C$15, $D$11, 100%, $F$11)</f>
        <v>12.717700000000001</v>
      </c>
      <c r="J486" s="4">
        <f>CHOOSE( CONTROL!$C$32, 12.5645, 12.5635) * CHOOSE(CONTROL!$C$15, $D$11, 100%, $F$11)</f>
        <v>12.564500000000001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17.9542</v>
      </c>
      <c r="R486" s="9"/>
      <c r="S486" s="11"/>
    </row>
    <row r="487" spans="1:19" ht="15.75">
      <c r="A487" s="13">
        <v>55974</v>
      </c>
      <c r="B487" s="8">
        <f>CHOOSE( CONTROL!$C$32, 12.6799, 12.6788) * CHOOSE(CONTROL!$C$15, $D$11, 100%, $F$11)</f>
        <v>12.6799</v>
      </c>
      <c r="C487" s="8">
        <f>CHOOSE( CONTROL!$C$32, 12.685, 12.6839) * CHOOSE(CONTROL!$C$15, $D$11, 100%, $F$11)</f>
        <v>12.685</v>
      </c>
      <c r="D487" s="8">
        <f>CHOOSE( CONTROL!$C$32, 12.6629, 12.6618) * CHOOSE( CONTROL!$C$15, $D$11, 100%, $F$11)</f>
        <v>12.6629</v>
      </c>
      <c r="E487" s="12">
        <f>CHOOSE( CONTROL!$C$32, 12.6704, 12.6693) * CHOOSE( CONTROL!$C$15, $D$11, 100%, $F$11)</f>
        <v>12.670400000000001</v>
      </c>
      <c r="F487" s="4">
        <f>CHOOSE( CONTROL!$C$32, 13.3452, 13.3441) * CHOOSE(CONTROL!$C$15, $D$11, 100%, $F$11)</f>
        <v>13.3452</v>
      </c>
      <c r="G487" s="8">
        <f>CHOOSE( CONTROL!$C$32, 12.533, 12.5319) * CHOOSE( CONTROL!$C$15, $D$11, 100%, $F$11)</f>
        <v>12.532999999999999</v>
      </c>
      <c r="H487" s="4">
        <f>CHOOSE( CONTROL!$C$32, 13.4355, 13.4345) * CHOOSE(CONTROL!$C$15, $D$11, 100%, $F$11)</f>
        <v>13.435499999999999</v>
      </c>
      <c r="I487" s="8">
        <f>CHOOSE( CONTROL!$C$32, 12.4482, 12.4471) * CHOOSE(CONTROL!$C$15, $D$11, 100%, $F$11)</f>
        <v>12.4482</v>
      </c>
      <c r="J487" s="4">
        <f>CHOOSE( CONTROL!$C$32, 12.2971, 12.296) * CHOOSE(CONTROL!$C$15, $D$11, 100%, $F$11)</f>
        <v>12.2971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19.877800000000001</v>
      </c>
      <c r="R487" s="9"/>
      <c r="S487" s="11"/>
    </row>
    <row r="488" spans="1:19" ht="15.75">
      <c r="A488" s="13">
        <v>56004</v>
      </c>
      <c r="B488" s="8">
        <f>CHOOSE( CONTROL!$C$32, 12.8732, 12.8721) * CHOOSE(CONTROL!$C$15, $D$11, 100%, $F$11)</f>
        <v>12.873200000000001</v>
      </c>
      <c r="C488" s="8">
        <f>CHOOSE( CONTROL!$C$32, 12.8777, 12.8766) * CHOOSE(CONTROL!$C$15, $D$11, 100%, $F$11)</f>
        <v>12.877700000000001</v>
      </c>
      <c r="D488" s="8">
        <f>CHOOSE( CONTROL!$C$32, 12.8806, 12.8795) * CHOOSE( CONTROL!$C$15, $D$11, 100%, $F$11)</f>
        <v>12.880599999999999</v>
      </c>
      <c r="E488" s="12">
        <f>CHOOSE( CONTROL!$C$32, 12.8791, 12.878) * CHOOSE( CONTROL!$C$15, $D$11, 100%, $F$11)</f>
        <v>12.879099999999999</v>
      </c>
      <c r="F488" s="4">
        <f>CHOOSE( CONTROL!$C$32, 13.5815, 13.5804) * CHOOSE(CONTROL!$C$15, $D$11, 100%, $F$11)</f>
        <v>13.5815</v>
      </c>
      <c r="G488" s="8">
        <f>CHOOSE( CONTROL!$C$32, 12.7338, 12.7327) * CHOOSE( CONTROL!$C$15, $D$11, 100%, $F$11)</f>
        <v>12.7338</v>
      </c>
      <c r="H488" s="4">
        <f>CHOOSE( CONTROL!$C$32, 13.6691, 13.6681) * CHOOSE(CONTROL!$C$15, $D$11, 100%, $F$11)</f>
        <v>13.6691</v>
      </c>
      <c r="I488" s="8">
        <f>CHOOSE( CONTROL!$C$32, 12.6074, 12.6064) * CHOOSE(CONTROL!$C$15, $D$11, 100%, $F$11)</f>
        <v>12.6074</v>
      </c>
      <c r="J488" s="4">
        <f>CHOOSE( CONTROL!$C$32, 12.484, 12.4829) * CHOOSE(CONTROL!$C$15, $D$11, 100%, $F$11)</f>
        <v>12.484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1.2509999999999999</v>
      </c>
      <c r="Q488" s="9">
        <v>19.236599999999999</v>
      </c>
      <c r="R488" s="9"/>
      <c r="S488" s="11"/>
    </row>
    <row r="489" spans="1:19" ht="15.75">
      <c r="A489" s="13">
        <v>56035</v>
      </c>
      <c r="B489" s="8">
        <f>CHOOSE( CONTROL!$C$32, 13.2179, 13.2162) * CHOOSE(CONTROL!$C$15, $D$11, 100%, $F$11)</f>
        <v>13.2179</v>
      </c>
      <c r="C489" s="8">
        <f>CHOOSE( CONTROL!$C$32, 13.2259, 13.2242) * CHOOSE(CONTROL!$C$15, $D$11, 100%, $F$11)</f>
        <v>13.225899999999999</v>
      </c>
      <c r="D489" s="8">
        <f>CHOOSE( CONTROL!$C$32, 13.2226, 13.2209) * CHOOSE( CONTROL!$C$15, $D$11, 100%, $F$11)</f>
        <v>13.2226</v>
      </c>
      <c r="E489" s="12">
        <f>CHOOSE( CONTROL!$C$32, 13.2226, 13.2209) * CHOOSE( CONTROL!$C$15, $D$11, 100%, $F$11)</f>
        <v>13.2226</v>
      </c>
      <c r="F489" s="4">
        <f>CHOOSE( CONTROL!$C$32, 13.9248, 13.9232) * CHOOSE(CONTROL!$C$15, $D$11, 100%, $F$11)</f>
        <v>13.924799999999999</v>
      </c>
      <c r="G489" s="8">
        <f>CHOOSE( CONTROL!$C$32, 13.0729, 13.0713) * CHOOSE( CONTROL!$C$15, $D$11, 100%, $F$11)</f>
        <v>13.072900000000001</v>
      </c>
      <c r="H489" s="4">
        <f>CHOOSE( CONTROL!$C$32, 14.0084, 14.0068) * CHOOSE(CONTROL!$C$15, $D$11, 100%, $F$11)</f>
        <v>14.0084</v>
      </c>
      <c r="I489" s="8">
        <f>CHOOSE( CONTROL!$C$32, 12.94, 12.9384) * CHOOSE(CONTROL!$C$15, $D$11, 100%, $F$11)</f>
        <v>12.94</v>
      </c>
      <c r="J489" s="4">
        <f>CHOOSE( CONTROL!$C$32, 12.8171, 12.8155) * CHOOSE(CONTROL!$C$15, $D$11, 100%, $F$11)</f>
        <v>12.8171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1.2927</v>
      </c>
      <c r="Q489" s="9">
        <v>19.877800000000001</v>
      </c>
      <c r="R489" s="9"/>
      <c r="S489" s="11"/>
    </row>
    <row r="490" spans="1:19" ht="15.75">
      <c r="A490" s="13">
        <v>56065</v>
      </c>
      <c r="B490" s="8">
        <f>CHOOSE( CONTROL!$C$32, 13.0056, 13.0039) * CHOOSE(CONTROL!$C$15, $D$11, 100%, $F$11)</f>
        <v>13.005599999999999</v>
      </c>
      <c r="C490" s="8">
        <f>CHOOSE( CONTROL!$C$32, 13.0136, 13.0119) * CHOOSE(CONTROL!$C$15, $D$11, 100%, $F$11)</f>
        <v>13.0136</v>
      </c>
      <c r="D490" s="8">
        <f>CHOOSE( CONTROL!$C$32, 13.0105, 13.0089) * CHOOSE( CONTROL!$C$15, $D$11, 100%, $F$11)</f>
        <v>13.0105</v>
      </c>
      <c r="E490" s="12">
        <f>CHOOSE( CONTROL!$C$32, 13.0104, 13.0088) * CHOOSE( CONTROL!$C$15, $D$11, 100%, $F$11)</f>
        <v>13.010400000000001</v>
      </c>
      <c r="F490" s="4">
        <f>CHOOSE( CONTROL!$C$32, 13.7125, 13.7109) * CHOOSE(CONTROL!$C$15, $D$11, 100%, $F$11)</f>
        <v>13.7125</v>
      </c>
      <c r="G490" s="8">
        <f>CHOOSE( CONTROL!$C$32, 12.8633, 12.8616) * CHOOSE( CONTROL!$C$15, $D$11, 100%, $F$11)</f>
        <v>12.863300000000001</v>
      </c>
      <c r="H490" s="4">
        <f>CHOOSE( CONTROL!$C$32, 13.7986, 13.7969) * CHOOSE(CONTROL!$C$15, $D$11, 100%, $F$11)</f>
        <v>13.7986</v>
      </c>
      <c r="I490" s="8">
        <f>CHOOSE( CONTROL!$C$32, 12.7347, 12.733) * CHOOSE(CONTROL!$C$15, $D$11, 100%, $F$11)</f>
        <v>12.7347</v>
      </c>
      <c r="J490" s="4">
        <f>CHOOSE( CONTROL!$C$32, 12.6111, 12.6095) * CHOOSE(CONTROL!$C$15, $D$11, 100%, $F$11)</f>
        <v>12.6111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1.2509999999999999</v>
      </c>
      <c r="Q490" s="9">
        <v>19.236599999999999</v>
      </c>
      <c r="R490" s="9"/>
      <c r="S490" s="11"/>
    </row>
    <row r="491" spans="1:19" ht="15.75">
      <c r="A491" s="13">
        <v>56096</v>
      </c>
      <c r="B491" s="8">
        <f>CHOOSE( CONTROL!$C$32, 13.5647, 13.563) * CHOOSE(CONTROL!$C$15, $D$11, 100%, $F$11)</f>
        <v>13.5647</v>
      </c>
      <c r="C491" s="8">
        <f>CHOOSE( CONTROL!$C$32, 13.5726, 13.571) * CHOOSE(CONTROL!$C$15, $D$11, 100%, $F$11)</f>
        <v>13.5726</v>
      </c>
      <c r="D491" s="8">
        <f>CHOOSE( CONTROL!$C$32, 13.5698, 13.5682) * CHOOSE( CONTROL!$C$15, $D$11, 100%, $F$11)</f>
        <v>13.569800000000001</v>
      </c>
      <c r="E491" s="12">
        <f>CHOOSE( CONTROL!$C$32, 13.5696, 13.568) * CHOOSE( CONTROL!$C$15, $D$11, 100%, $F$11)</f>
        <v>13.569599999999999</v>
      </c>
      <c r="F491" s="4">
        <f>CHOOSE( CONTROL!$C$32, 14.2716, 14.2699) * CHOOSE(CONTROL!$C$15, $D$11, 100%, $F$11)</f>
        <v>14.271599999999999</v>
      </c>
      <c r="G491" s="8">
        <f>CHOOSE( CONTROL!$C$32, 13.416, 13.4143) * CHOOSE( CONTROL!$C$15, $D$11, 100%, $F$11)</f>
        <v>13.416</v>
      </c>
      <c r="H491" s="4">
        <f>CHOOSE( CONTROL!$C$32, 14.3511, 14.3495) * CHOOSE(CONTROL!$C$15, $D$11, 100%, $F$11)</f>
        <v>14.351100000000001</v>
      </c>
      <c r="I491" s="8">
        <f>CHOOSE( CONTROL!$C$32, 13.2784, 13.2767) * CHOOSE(CONTROL!$C$15, $D$11, 100%, $F$11)</f>
        <v>13.2784</v>
      </c>
      <c r="J491" s="4">
        <f>CHOOSE( CONTROL!$C$32, 13.1537, 13.1521) * CHOOSE(CONTROL!$C$15, $D$11, 100%, $F$11)</f>
        <v>13.153700000000001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1.2927</v>
      </c>
      <c r="Q491" s="9">
        <v>19.877800000000001</v>
      </c>
      <c r="R491" s="9"/>
      <c r="S491" s="11"/>
    </row>
    <row r="492" spans="1:19" ht="15.75">
      <c r="A492" s="13">
        <v>56127</v>
      </c>
      <c r="B492" s="8">
        <f>CHOOSE( CONTROL!$C$32, 12.5186, 12.5169) * CHOOSE(CONTROL!$C$15, $D$11, 100%, $F$11)</f>
        <v>12.518599999999999</v>
      </c>
      <c r="C492" s="8">
        <f>CHOOSE( CONTROL!$C$32, 12.5265, 12.5249) * CHOOSE(CONTROL!$C$15, $D$11, 100%, $F$11)</f>
        <v>12.5265</v>
      </c>
      <c r="D492" s="8">
        <f>CHOOSE( CONTROL!$C$32, 12.5238, 12.5222) * CHOOSE( CONTROL!$C$15, $D$11, 100%, $F$11)</f>
        <v>12.5238</v>
      </c>
      <c r="E492" s="12">
        <f>CHOOSE( CONTROL!$C$32, 12.5236, 12.522) * CHOOSE( CONTROL!$C$15, $D$11, 100%, $F$11)</f>
        <v>12.5236</v>
      </c>
      <c r="F492" s="4">
        <f>CHOOSE( CONTROL!$C$32, 13.2255, 13.2238) * CHOOSE(CONTROL!$C$15, $D$11, 100%, $F$11)</f>
        <v>13.2255</v>
      </c>
      <c r="G492" s="8">
        <f>CHOOSE( CONTROL!$C$32, 12.3822, 12.3806) * CHOOSE( CONTROL!$C$15, $D$11, 100%, $F$11)</f>
        <v>12.382199999999999</v>
      </c>
      <c r="H492" s="4">
        <f>CHOOSE( CONTROL!$C$32, 13.3173, 13.3156) * CHOOSE(CONTROL!$C$15, $D$11, 100%, $F$11)</f>
        <v>13.317299999999999</v>
      </c>
      <c r="I492" s="8">
        <f>CHOOSE( CONTROL!$C$32, 12.2629, 12.2613) * CHOOSE(CONTROL!$C$15, $D$11, 100%, $F$11)</f>
        <v>12.2629</v>
      </c>
      <c r="J492" s="4">
        <f>CHOOSE( CONTROL!$C$32, 12.1384, 12.1368) * CHOOSE(CONTROL!$C$15, $D$11, 100%, $F$11)</f>
        <v>12.138400000000001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1.2927</v>
      </c>
      <c r="Q492" s="9">
        <v>19.877800000000001</v>
      </c>
      <c r="R492" s="9"/>
      <c r="S492" s="11"/>
    </row>
    <row r="493" spans="1:19" ht="15.75">
      <c r="A493" s="13">
        <v>56157</v>
      </c>
      <c r="B493" s="8">
        <f>CHOOSE( CONTROL!$C$32, 12.2566, 12.2549) * CHOOSE(CONTROL!$C$15, $D$11, 100%, $F$11)</f>
        <v>12.256600000000001</v>
      </c>
      <c r="C493" s="8">
        <f>CHOOSE( CONTROL!$C$32, 12.2646, 12.2629) * CHOOSE(CONTROL!$C$15, $D$11, 100%, $F$11)</f>
        <v>12.2646</v>
      </c>
      <c r="D493" s="8">
        <f>CHOOSE( CONTROL!$C$32, 12.2618, 12.2602) * CHOOSE( CONTROL!$C$15, $D$11, 100%, $F$11)</f>
        <v>12.261799999999999</v>
      </c>
      <c r="E493" s="12">
        <f>CHOOSE( CONTROL!$C$32, 12.2616, 12.26) * CHOOSE( CONTROL!$C$15, $D$11, 100%, $F$11)</f>
        <v>12.2616</v>
      </c>
      <c r="F493" s="4">
        <f>CHOOSE( CONTROL!$C$32, 12.9635, 12.9619) * CHOOSE(CONTROL!$C$15, $D$11, 100%, $F$11)</f>
        <v>12.9635</v>
      </c>
      <c r="G493" s="8">
        <f>CHOOSE( CONTROL!$C$32, 12.1233, 12.1216) * CHOOSE( CONTROL!$C$15, $D$11, 100%, $F$11)</f>
        <v>12.1233</v>
      </c>
      <c r="H493" s="4">
        <f>CHOOSE( CONTROL!$C$32, 13.0584, 13.0567) * CHOOSE(CONTROL!$C$15, $D$11, 100%, $F$11)</f>
        <v>13.058400000000001</v>
      </c>
      <c r="I493" s="8">
        <f>CHOOSE( CONTROL!$C$32, 12.0084, 12.0068) * CHOOSE(CONTROL!$C$15, $D$11, 100%, $F$11)</f>
        <v>12.0084</v>
      </c>
      <c r="J493" s="4">
        <f>CHOOSE( CONTROL!$C$32, 11.8842, 11.8826) * CHOOSE(CONTROL!$C$15, $D$11, 100%, $F$11)</f>
        <v>11.8842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1.2509999999999999</v>
      </c>
      <c r="Q493" s="9">
        <v>19.236599999999999</v>
      </c>
      <c r="R493" s="9"/>
      <c r="S493" s="11"/>
    </row>
    <row r="494" spans="1:19" ht="15.75">
      <c r="A494" s="13">
        <v>56188</v>
      </c>
      <c r="B494" s="8">
        <f>CHOOSE( CONTROL!$C$32, 12.7982, 12.7971) * CHOOSE(CONTROL!$C$15, $D$11, 100%, $F$11)</f>
        <v>12.7982</v>
      </c>
      <c r="C494" s="8">
        <f>CHOOSE( CONTROL!$C$32, 12.8035, 12.8025) * CHOOSE(CONTROL!$C$15, $D$11, 100%, $F$11)</f>
        <v>12.8035</v>
      </c>
      <c r="D494" s="8">
        <f>CHOOSE( CONTROL!$C$32, 12.8064, 12.8054) * CHOOSE( CONTROL!$C$15, $D$11, 100%, $F$11)</f>
        <v>12.8064</v>
      </c>
      <c r="E494" s="12">
        <f>CHOOSE( CONTROL!$C$32, 12.8049, 12.8039) * CHOOSE( CONTROL!$C$15, $D$11, 100%, $F$11)</f>
        <v>12.8049</v>
      </c>
      <c r="F494" s="4">
        <f>CHOOSE( CONTROL!$C$32, 13.5069, 13.5058) * CHOOSE(CONTROL!$C$15, $D$11, 100%, $F$11)</f>
        <v>13.5069</v>
      </c>
      <c r="G494" s="8">
        <f>CHOOSE( CONTROL!$C$32, 12.6604, 12.6593) * CHOOSE( CONTROL!$C$15, $D$11, 100%, $F$11)</f>
        <v>12.660399999999999</v>
      </c>
      <c r="H494" s="4">
        <f>CHOOSE( CONTROL!$C$32, 13.5953, 13.5943) * CHOOSE(CONTROL!$C$15, $D$11, 100%, $F$11)</f>
        <v>13.5953</v>
      </c>
      <c r="I494" s="8">
        <f>CHOOSE( CONTROL!$C$32, 12.5368, 12.5357) * CHOOSE(CONTROL!$C$15, $D$11, 100%, $F$11)</f>
        <v>12.536799999999999</v>
      </c>
      <c r="J494" s="4">
        <f>CHOOSE( CONTROL!$C$32, 12.4115, 12.4105) * CHOOSE(CONTROL!$C$15, $D$11, 100%, $F$11)</f>
        <v>12.4115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1.2927</v>
      </c>
      <c r="Q494" s="9">
        <v>19.877800000000001</v>
      </c>
      <c r="R494" s="9"/>
      <c r="S494" s="11"/>
    </row>
    <row r="495" spans="1:19" ht="15.75">
      <c r="A495" s="13">
        <v>56218</v>
      </c>
      <c r="B495" s="8">
        <f>CHOOSE( CONTROL!$C$32, 13.8018, 13.8007) * CHOOSE(CONTROL!$C$15, $D$11, 100%, $F$11)</f>
        <v>13.8018</v>
      </c>
      <c r="C495" s="8">
        <f>CHOOSE( CONTROL!$C$32, 13.8068, 13.8058) * CHOOSE(CONTROL!$C$15, $D$11, 100%, $F$11)</f>
        <v>13.806800000000001</v>
      </c>
      <c r="D495" s="8">
        <f>CHOOSE( CONTROL!$C$32, 13.789, 13.7879) * CHOOSE( CONTROL!$C$15, $D$11, 100%, $F$11)</f>
        <v>13.789</v>
      </c>
      <c r="E495" s="12">
        <f>CHOOSE( CONTROL!$C$32, 13.795, 13.7939) * CHOOSE( CONTROL!$C$15, $D$11, 100%, $F$11)</f>
        <v>13.795</v>
      </c>
      <c r="F495" s="4">
        <f>CHOOSE( CONTROL!$C$32, 14.467, 14.466) * CHOOSE(CONTROL!$C$15, $D$11, 100%, $F$11)</f>
        <v>14.467000000000001</v>
      </c>
      <c r="G495" s="8">
        <f>CHOOSE( CONTROL!$C$32, 13.6517, 13.6506) * CHOOSE( CONTROL!$C$15, $D$11, 100%, $F$11)</f>
        <v>13.6517</v>
      </c>
      <c r="H495" s="4">
        <f>CHOOSE( CONTROL!$C$32, 14.5443, 14.5432) * CHOOSE(CONTROL!$C$15, $D$11, 100%, $F$11)</f>
        <v>14.5443</v>
      </c>
      <c r="I495" s="8">
        <f>CHOOSE( CONTROL!$C$32, 13.5734, 13.5723) * CHOOSE(CONTROL!$C$15, $D$11, 100%, $F$11)</f>
        <v>13.573399999999999</v>
      </c>
      <c r="J495" s="4">
        <f>CHOOSE( CONTROL!$C$32, 13.3859, 13.3848) * CHOOSE(CONTROL!$C$15, $D$11, 100%, $F$11)</f>
        <v>13.385899999999999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19.236599999999999</v>
      </c>
      <c r="R495" s="9"/>
      <c r="S495" s="11"/>
    </row>
    <row r="496" spans="1:19" ht="15.75">
      <c r="A496" s="13">
        <v>56249</v>
      </c>
      <c r="B496" s="8">
        <f>CHOOSE( CONTROL!$C$32, 13.7767, 13.7756) * CHOOSE(CONTROL!$C$15, $D$11, 100%, $F$11)</f>
        <v>13.7767</v>
      </c>
      <c r="C496" s="8">
        <f>CHOOSE( CONTROL!$C$32, 13.7818, 13.7807) * CHOOSE(CONTROL!$C$15, $D$11, 100%, $F$11)</f>
        <v>13.7818</v>
      </c>
      <c r="D496" s="8">
        <f>CHOOSE( CONTROL!$C$32, 13.7654, 13.7643) * CHOOSE( CONTROL!$C$15, $D$11, 100%, $F$11)</f>
        <v>13.7654</v>
      </c>
      <c r="E496" s="12">
        <f>CHOOSE( CONTROL!$C$32, 13.7709, 13.7698) * CHOOSE( CONTROL!$C$15, $D$11, 100%, $F$11)</f>
        <v>13.770899999999999</v>
      </c>
      <c r="F496" s="4">
        <f>CHOOSE( CONTROL!$C$32, 14.442, 14.4409) * CHOOSE(CONTROL!$C$15, $D$11, 100%, $F$11)</f>
        <v>14.442</v>
      </c>
      <c r="G496" s="8">
        <f>CHOOSE( CONTROL!$C$32, 13.628, 13.6269) * CHOOSE( CONTROL!$C$15, $D$11, 100%, $F$11)</f>
        <v>13.628</v>
      </c>
      <c r="H496" s="4">
        <f>CHOOSE( CONTROL!$C$32, 14.5195, 14.5184) * CHOOSE(CONTROL!$C$15, $D$11, 100%, $F$11)</f>
        <v>14.519500000000001</v>
      </c>
      <c r="I496" s="8">
        <f>CHOOSE( CONTROL!$C$32, 13.5535, 13.5524) * CHOOSE(CONTROL!$C$15, $D$11, 100%, $F$11)</f>
        <v>13.5535</v>
      </c>
      <c r="J496" s="4">
        <f>CHOOSE( CONTROL!$C$32, 13.3615, 13.3605) * CHOOSE(CONTROL!$C$15, $D$11, 100%, $F$11)</f>
        <v>13.361499999999999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19.877800000000001</v>
      </c>
      <c r="R496" s="9"/>
      <c r="S496" s="11"/>
    </row>
    <row r="497" spans="1:19" ht="15.75">
      <c r="A497" s="13">
        <v>56280</v>
      </c>
      <c r="B497" s="8">
        <f>CHOOSE( CONTROL!$C$32, 14.1827, 14.1817) * CHOOSE(CONTROL!$C$15, $D$11, 100%, $F$11)</f>
        <v>14.182700000000001</v>
      </c>
      <c r="C497" s="8">
        <f>CHOOSE( CONTROL!$C$32, 14.1878, 14.1867) * CHOOSE(CONTROL!$C$15, $D$11, 100%, $F$11)</f>
        <v>14.187799999999999</v>
      </c>
      <c r="D497" s="8">
        <f>CHOOSE( CONTROL!$C$32, 14.1665, 14.1655) * CHOOSE( CONTROL!$C$15, $D$11, 100%, $F$11)</f>
        <v>14.166499999999999</v>
      </c>
      <c r="E497" s="12">
        <f>CHOOSE( CONTROL!$C$32, 14.1737, 14.1727) * CHOOSE( CONTROL!$C$15, $D$11, 100%, $F$11)</f>
        <v>14.1737</v>
      </c>
      <c r="F497" s="4">
        <f>CHOOSE( CONTROL!$C$32, 14.848, 14.8469) * CHOOSE(CONTROL!$C$15, $D$11, 100%, $F$11)</f>
        <v>14.848000000000001</v>
      </c>
      <c r="G497" s="8">
        <f>CHOOSE( CONTROL!$C$32, 14.0188, 14.0177) * CHOOSE( CONTROL!$C$15, $D$11, 100%, $F$11)</f>
        <v>14.018800000000001</v>
      </c>
      <c r="H497" s="4">
        <f>CHOOSE( CONTROL!$C$32, 14.9208, 14.9197) * CHOOSE(CONTROL!$C$15, $D$11, 100%, $F$11)</f>
        <v>14.9208</v>
      </c>
      <c r="I497" s="8">
        <f>CHOOSE( CONTROL!$C$32, 13.9098, 13.9088) * CHOOSE(CONTROL!$C$15, $D$11, 100%, $F$11)</f>
        <v>13.909800000000001</v>
      </c>
      <c r="J497" s="4">
        <f>CHOOSE( CONTROL!$C$32, 13.7556, 13.7546) * CHOOSE(CONTROL!$C$15, $D$11, 100%, $F$11)</f>
        <v>13.755599999999999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19.814599999999999</v>
      </c>
      <c r="R497" s="9"/>
      <c r="S497" s="11"/>
    </row>
    <row r="498" spans="1:19" ht="15.75">
      <c r="A498" s="13">
        <v>56308</v>
      </c>
      <c r="B498" s="8">
        <f>CHOOSE( CONTROL!$C$32, 13.2665, 13.2654) * CHOOSE(CONTROL!$C$15, $D$11, 100%, $F$11)</f>
        <v>13.266500000000001</v>
      </c>
      <c r="C498" s="8">
        <f>CHOOSE( CONTROL!$C$32, 13.2716, 13.2705) * CHOOSE(CONTROL!$C$15, $D$11, 100%, $F$11)</f>
        <v>13.271599999999999</v>
      </c>
      <c r="D498" s="8">
        <f>CHOOSE( CONTROL!$C$32, 13.2502, 13.2491) * CHOOSE( CONTROL!$C$15, $D$11, 100%, $F$11)</f>
        <v>13.2502</v>
      </c>
      <c r="E498" s="12">
        <f>CHOOSE( CONTROL!$C$32, 13.2575, 13.2564) * CHOOSE( CONTROL!$C$15, $D$11, 100%, $F$11)</f>
        <v>13.2575</v>
      </c>
      <c r="F498" s="4">
        <f>CHOOSE( CONTROL!$C$32, 13.9318, 13.9307) * CHOOSE(CONTROL!$C$15, $D$11, 100%, $F$11)</f>
        <v>13.931800000000001</v>
      </c>
      <c r="G498" s="8">
        <f>CHOOSE( CONTROL!$C$32, 13.1132, 13.1121) * CHOOSE( CONTROL!$C$15, $D$11, 100%, $F$11)</f>
        <v>13.113200000000001</v>
      </c>
      <c r="H498" s="4">
        <f>CHOOSE( CONTROL!$C$32, 14.0153, 14.0142) * CHOOSE(CONTROL!$C$15, $D$11, 100%, $F$11)</f>
        <v>14.0153</v>
      </c>
      <c r="I498" s="8">
        <f>CHOOSE( CONTROL!$C$32, 13.0198, 13.0187) * CHOOSE(CONTROL!$C$15, $D$11, 100%, $F$11)</f>
        <v>13.0198</v>
      </c>
      <c r="J498" s="4">
        <f>CHOOSE( CONTROL!$C$32, 12.8664, 12.8653) * CHOOSE(CONTROL!$C$15, $D$11, 100%, $F$11)</f>
        <v>12.866400000000001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17.896999999999998</v>
      </c>
      <c r="R498" s="9"/>
      <c r="S498" s="11"/>
    </row>
    <row r="499" spans="1:19" ht="15.75">
      <c r="A499" s="13">
        <v>56339</v>
      </c>
      <c r="B499" s="8">
        <f>CHOOSE( CONTROL!$C$32, 12.9843, 12.9832) * CHOOSE(CONTROL!$C$15, $D$11, 100%, $F$11)</f>
        <v>12.984299999999999</v>
      </c>
      <c r="C499" s="8">
        <f>CHOOSE( CONTROL!$C$32, 12.9894, 12.9883) * CHOOSE(CONTROL!$C$15, $D$11, 100%, $F$11)</f>
        <v>12.9894</v>
      </c>
      <c r="D499" s="8">
        <f>CHOOSE( CONTROL!$C$32, 12.9673, 12.9662) * CHOOSE( CONTROL!$C$15, $D$11, 100%, $F$11)</f>
        <v>12.9673</v>
      </c>
      <c r="E499" s="12">
        <f>CHOOSE( CONTROL!$C$32, 12.9748, 12.9737) * CHOOSE( CONTROL!$C$15, $D$11, 100%, $F$11)</f>
        <v>12.9748</v>
      </c>
      <c r="F499" s="4">
        <f>CHOOSE( CONTROL!$C$32, 13.6496, 13.6485) * CHOOSE(CONTROL!$C$15, $D$11, 100%, $F$11)</f>
        <v>13.6496</v>
      </c>
      <c r="G499" s="8">
        <f>CHOOSE( CONTROL!$C$32, 12.8338, 12.8328) * CHOOSE( CONTROL!$C$15, $D$11, 100%, $F$11)</f>
        <v>12.8338</v>
      </c>
      <c r="H499" s="4">
        <f>CHOOSE( CONTROL!$C$32, 13.7364, 13.7353) * CHOOSE(CONTROL!$C$15, $D$11, 100%, $F$11)</f>
        <v>13.7364</v>
      </c>
      <c r="I499" s="8">
        <f>CHOOSE( CONTROL!$C$32, 12.7438, 12.7427) * CHOOSE(CONTROL!$C$15, $D$11, 100%, $F$11)</f>
        <v>12.7438</v>
      </c>
      <c r="J499" s="4">
        <f>CHOOSE( CONTROL!$C$32, 12.5925, 12.5915) * CHOOSE(CONTROL!$C$15, $D$11, 100%, $F$11)</f>
        <v>12.592499999999999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19.814599999999999</v>
      </c>
      <c r="R499" s="9"/>
      <c r="S499" s="11"/>
    </row>
    <row r="500" spans="1:19" ht="15.75">
      <c r="A500" s="13">
        <v>56369</v>
      </c>
      <c r="B500" s="8">
        <f>CHOOSE( CONTROL!$C$32, 13.1823, 13.1812) * CHOOSE(CONTROL!$C$15, $D$11, 100%, $F$11)</f>
        <v>13.1823</v>
      </c>
      <c r="C500" s="8">
        <f>CHOOSE( CONTROL!$C$32, 13.1868, 13.1857) * CHOOSE(CONTROL!$C$15, $D$11, 100%, $F$11)</f>
        <v>13.1868</v>
      </c>
      <c r="D500" s="8">
        <f>CHOOSE( CONTROL!$C$32, 13.1896, 13.1885) * CHOOSE( CONTROL!$C$15, $D$11, 100%, $F$11)</f>
        <v>13.1896</v>
      </c>
      <c r="E500" s="12">
        <f>CHOOSE( CONTROL!$C$32, 13.1882, 13.1871) * CHOOSE( CONTROL!$C$15, $D$11, 100%, $F$11)</f>
        <v>13.1882</v>
      </c>
      <c r="F500" s="4">
        <f>CHOOSE( CONTROL!$C$32, 13.8906, 13.8895) * CHOOSE(CONTROL!$C$15, $D$11, 100%, $F$11)</f>
        <v>13.890599999999999</v>
      </c>
      <c r="G500" s="8">
        <f>CHOOSE( CONTROL!$C$32, 13.0392, 13.0381) * CHOOSE( CONTROL!$C$15, $D$11, 100%, $F$11)</f>
        <v>13.039199999999999</v>
      </c>
      <c r="H500" s="4">
        <f>CHOOSE( CONTROL!$C$32, 13.9746, 13.9735) * CHOOSE(CONTROL!$C$15, $D$11, 100%, $F$11)</f>
        <v>13.974600000000001</v>
      </c>
      <c r="I500" s="8">
        <f>CHOOSE( CONTROL!$C$32, 12.9075, 12.9064) * CHOOSE(CONTROL!$C$15, $D$11, 100%, $F$11)</f>
        <v>12.907500000000001</v>
      </c>
      <c r="J500" s="4">
        <f>CHOOSE( CONTROL!$C$32, 12.7839, 12.7828) * CHOOSE(CONTROL!$C$15, $D$11, 100%, $F$11)</f>
        <v>12.783899999999999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1.2509999999999999</v>
      </c>
      <c r="Q500" s="9">
        <v>19.1754</v>
      </c>
      <c r="R500" s="9"/>
      <c r="S500" s="11"/>
    </row>
    <row r="501" spans="1:19" ht="15.75">
      <c r="A501" s="13">
        <v>56400</v>
      </c>
      <c r="B501" s="8">
        <f>CHOOSE( CONTROL!$C$32, 13.5352, 13.5335) * CHOOSE(CONTROL!$C$15, $D$11, 100%, $F$11)</f>
        <v>13.5352</v>
      </c>
      <c r="C501" s="8">
        <f>CHOOSE( CONTROL!$C$32, 13.5431, 13.5415) * CHOOSE(CONTROL!$C$15, $D$11, 100%, $F$11)</f>
        <v>13.543100000000001</v>
      </c>
      <c r="D501" s="8">
        <f>CHOOSE( CONTROL!$C$32, 13.5399, 13.5382) * CHOOSE( CONTROL!$C$15, $D$11, 100%, $F$11)</f>
        <v>13.539899999999999</v>
      </c>
      <c r="E501" s="12">
        <f>CHOOSE( CONTROL!$C$32, 13.5399, 13.5382) * CHOOSE( CONTROL!$C$15, $D$11, 100%, $F$11)</f>
        <v>13.539899999999999</v>
      </c>
      <c r="F501" s="4">
        <f>CHOOSE( CONTROL!$C$32, 14.2421, 14.2405) * CHOOSE(CONTROL!$C$15, $D$11, 100%, $F$11)</f>
        <v>14.242100000000001</v>
      </c>
      <c r="G501" s="8">
        <f>CHOOSE( CONTROL!$C$32, 13.3865, 13.3848) * CHOOSE( CONTROL!$C$15, $D$11, 100%, $F$11)</f>
        <v>13.3865</v>
      </c>
      <c r="H501" s="4">
        <f>CHOOSE( CONTROL!$C$32, 14.322, 14.3203) * CHOOSE(CONTROL!$C$15, $D$11, 100%, $F$11)</f>
        <v>14.321999999999999</v>
      </c>
      <c r="I501" s="8">
        <f>CHOOSE( CONTROL!$C$32, 13.2481, 13.2465) * CHOOSE(CONTROL!$C$15, $D$11, 100%, $F$11)</f>
        <v>13.248100000000001</v>
      </c>
      <c r="J501" s="4">
        <f>CHOOSE( CONTROL!$C$32, 13.1251, 13.1235) * CHOOSE(CONTROL!$C$15, $D$11, 100%, $F$11)</f>
        <v>13.1251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1.2927</v>
      </c>
      <c r="Q501" s="9">
        <v>19.814599999999999</v>
      </c>
      <c r="R501" s="9"/>
      <c r="S501" s="11"/>
    </row>
    <row r="502" spans="1:19" ht="15.75">
      <c r="A502" s="13">
        <v>56430</v>
      </c>
      <c r="B502" s="8">
        <f>CHOOSE( CONTROL!$C$32, 13.3178, 13.3161) * CHOOSE(CONTROL!$C$15, $D$11, 100%, $F$11)</f>
        <v>13.3178</v>
      </c>
      <c r="C502" s="8">
        <f>CHOOSE( CONTROL!$C$32, 13.3257, 13.3241) * CHOOSE(CONTROL!$C$15, $D$11, 100%, $F$11)</f>
        <v>13.325699999999999</v>
      </c>
      <c r="D502" s="8">
        <f>CHOOSE( CONTROL!$C$32, 13.3227, 13.321) * CHOOSE( CONTROL!$C$15, $D$11, 100%, $F$11)</f>
        <v>13.322699999999999</v>
      </c>
      <c r="E502" s="12">
        <f>CHOOSE( CONTROL!$C$32, 13.3226, 13.3209) * CHOOSE( CONTROL!$C$15, $D$11, 100%, $F$11)</f>
        <v>13.3226</v>
      </c>
      <c r="F502" s="4">
        <f>CHOOSE( CONTROL!$C$32, 14.0247, 14.023) * CHOOSE(CONTROL!$C$15, $D$11, 100%, $F$11)</f>
        <v>14.024699999999999</v>
      </c>
      <c r="G502" s="8">
        <f>CHOOSE( CONTROL!$C$32, 13.1718, 13.1701) * CHOOSE( CONTROL!$C$15, $D$11, 100%, $F$11)</f>
        <v>13.171799999999999</v>
      </c>
      <c r="H502" s="4">
        <f>CHOOSE( CONTROL!$C$32, 14.1071, 14.1055) * CHOOSE(CONTROL!$C$15, $D$11, 100%, $F$11)</f>
        <v>14.107100000000001</v>
      </c>
      <c r="I502" s="8">
        <f>CHOOSE( CONTROL!$C$32, 13.0378, 13.0362) * CHOOSE(CONTROL!$C$15, $D$11, 100%, $F$11)</f>
        <v>13.037800000000001</v>
      </c>
      <c r="J502" s="4">
        <f>CHOOSE( CONTROL!$C$32, 12.9141, 12.9125) * CHOOSE(CONTROL!$C$15, $D$11, 100%, $F$11)</f>
        <v>12.914099999999999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1.2509999999999999</v>
      </c>
      <c r="Q502" s="9">
        <v>19.1754</v>
      </c>
      <c r="R502" s="9"/>
      <c r="S502" s="11"/>
    </row>
    <row r="503" spans="1:19" ht="15.75">
      <c r="A503" s="13">
        <v>56461</v>
      </c>
      <c r="B503" s="8">
        <f>CHOOSE( CONTROL!$C$32, 13.8903, 13.8886) * CHOOSE(CONTROL!$C$15, $D$11, 100%, $F$11)</f>
        <v>13.8903</v>
      </c>
      <c r="C503" s="8">
        <f>CHOOSE( CONTROL!$C$32, 13.8983, 13.8966) * CHOOSE(CONTROL!$C$15, $D$11, 100%, $F$11)</f>
        <v>13.898300000000001</v>
      </c>
      <c r="D503" s="8">
        <f>CHOOSE( CONTROL!$C$32, 13.8955, 13.8938) * CHOOSE( CONTROL!$C$15, $D$11, 100%, $F$11)</f>
        <v>13.8955</v>
      </c>
      <c r="E503" s="12">
        <f>CHOOSE( CONTROL!$C$32, 13.8953, 13.8936) * CHOOSE( CONTROL!$C$15, $D$11, 100%, $F$11)</f>
        <v>13.895300000000001</v>
      </c>
      <c r="F503" s="4">
        <f>CHOOSE( CONTROL!$C$32, 14.5972, 14.5956) * CHOOSE(CONTROL!$C$15, $D$11, 100%, $F$11)</f>
        <v>14.597200000000001</v>
      </c>
      <c r="G503" s="8">
        <f>CHOOSE( CONTROL!$C$32, 13.7378, 13.7362) * CHOOSE( CONTROL!$C$15, $D$11, 100%, $F$11)</f>
        <v>13.7378</v>
      </c>
      <c r="H503" s="4">
        <f>CHOOSE( CONTROL!$C$32, 14.6729, 14.6713) * CHOOSE(CONTROL!$C$15, $D$11, 100%, $F$11)</f>
        <v>14.6729</v>
      </c>
      <c r="I503" s="8">
        <f>CHOOSE( CONTROL!$C$32, 13.5945, 13.5929) * CHOOSE(CONTROL!$C$15, $D$11, 100%, $F$11)</f>
        <v>13.5945</v>
      </c>
      <c r="J503" s="4">
        <f>CHOOSE( CONTROL!$C$32, 13.4697, 13.4681) * CHOOSE(CONTROL!$C$15, $D$11, 100%, $F$11)</f>
        <v>13.4697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1.2927</v>
      </c>
      <c r="Q503" s="9">
        <v>19.814599999999999</v>
      </c>
      <c r="R503" s="9"/>
      <c r="S503" s="11"/>
    </row>
    <row r="504" spans="1:19" ht="15.75">
      <c r="A504" s="13">
        <v>56492</v>
      </c>
      <c r="B504" s="8">
        <f>CHOOSE( CONTROL!$C$32, 12.819, 12.8174) * CHOOSE(CONTROL!$C$15, $D$11, 100%, $F$11)</f>
        <v>12.819000000000001</v>
      </c>
      <c r="C504" s="8">
        <f>CHOOSE( CONTROL!$C$32, 12.827, 12.8254) * CHOOSE(CONTROL!$C$15, $D$11, 100%, $F$11)</f>
        <v>12.827</v>
      </c>
      <c r="D504" s="8">
        <f>CHOOSE( CONTROL!$C$32, 12.8243, 12.8227) * CHOOSE( CONTROL!$C$15, $D$11, 100%, $F$11)</f>
        <v>12.824299999999999</v>
      </c>
      <c r="E504" s="12">
        <f>CHOOSE( CONTROL!$C$32, 12.8241, 12.8225) * CHOOSE( CONTROL!$C$15, $D$11, 100%, $F$11)</f>
        <v>12.8241</v>
      </c>
      <c r="F504" s="4">
        <f>CHOOSE( CONTROL!$C$32, 13.526, 13.5243) * CHOOSE(CONTROL!$C$15, $D$11, 100%, $F$11)</f>
        <v>13.526</v>
      </c>
      <c r="G504" s="8">
        <f>CHOOSE( CONTROL!$C$32, 12.6792, 12.6775) * CHOOSE( CONTROL!$C$15, $D$11, 100%, $F$11)</f>
        <v>12.6792</v>
      </c>
      <c r="H504" s="4">
        <f>CHOOSE( CONTROL!$C$32, 13.6142, 13.6126) * CHOOSE(CONTROL!$C$15, $D$11, 100%, $F$11)</f>
        <v>13.6142</v>
      </c>
      <c r="I504" s="8">
        <f>CHOOSE( CONTROL!$C$32, 12.5547, 12.5531) * CHOOSE(CONTROL!$C$15, $D$11, 100%, $F$11)</f>
        <v>12.5547</v>
      </c>
      <c r="J504" s="4">
        <f>CHOOSE( CONTROL!$C$32, 12.4301, 12.4284) * CHOOSE(CONTROL!$C$15, $D$11, 100%, $F$11)</f>
        <v>12.430099999999999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1.2927</v>
      </c>
      <c r="Q504" s="9">
        <v>19.814599999999999</v>
      </c>
      <c r="R504" s="9"/>
      <c r="S504" s="11"/>
    </row>
    <row r="505" spans="1:19" ht="15.75">
      <c r="A505" s="13">
        <v>56522</v>
      </c>
      <c r="B505" s="8">
        <f>CHOOSE( CONTROL!$C$32, 12.5508, 12.5491) * CHOOSE(CONTROL!$C$15, $D$11, 100%, $F$11)</f>
        <v>12.550800000000001</v>
      </c>
      <c r="C505" s="8">
        <f>CHOOSE( CONTROL!$C$32, 12.5588, 12.5571) * CHOOSE(CONTROL!$C$15, $D$11, 100%, $F$11)</f>
        <v>12.5588</v>
      </c>
      <c r="D505" s="8">
        <f>CHOOSE( CONTROL!$C$32, 12.556, 12.5544) * CHOOSE( CONTROL!$C$15, $D$11, 100%, $F$11)</f>
        <v>12.555999999999999</v>
      </c>
      <c r="E505" s="12">
        <f>CHOOSE( CONTROL!$C$32, 12.5558, 12.5542) * CHOOSE( CONTROL!$C$15, $D$11, 100%, $F$11)</f>
        <v>12.5558</v>
      </c>
      <c r="F505" s="4">
        <f>CHOOSE( CONTROL!$C$32, 13.2577, 13.2561) * CHOOSE(CONTROL!$C$15, $D$11, 100%, $F$11)</f>
        <v>13.2577</v>
      </c>
      <c r="G505" s="8">
        <f>CHOOSE( CONTROL!$C$32, 12.414, 12.4124) * CHOOSE( CONTROL!$C$15, $D$11, 100%, $F$11)</f>
        <v>12.414</v>
      </c>
      <c r="H505" s="4">
        <f>CHOOSE( CONTROL!$C$32, 13.3491, 13.3475) * CHOOSE(CONTROL!$C$15, $D$11, 100%, $F$11)</f>
        <v>13.3491</v>
      </c>
      <c r="I505" s="8">
        <f>CHOOSE( CONTROL!$C$32, 12.2941, 12.2925) * CHOOSE(CONTROL!$C$15, $D$11, 100%, $F$11)</f>
        <v>12.2941</v>
      </c>
      <c r="J505" s="4">
        <f>CHOOSE( CONTROL!$C$32, 12.1697, 12.1681) * CHOOSE(CONTROL!$C$15, $D$11, 100%, $F$11)</f>
        <v>12.169700000000001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1.2509999999999999</v>
      </c>
      <c r="Q505" s="9">
        <v>19.1754</v>
      </c>
      <c r="R505" s="9"/>
      <c r="S505" s="11"/>
    </row>
    <row r="506" spans="1:19" ht="15.75">
      <c r="A506" s="13">
        <v>56553</v>
      </c>
      <c r="B506" s="8">
        <f>CHOOSE( CONTROL!$C$32, 13.1055, 13.1044) * CHOOSE(CONTROL!$C$15, $D$11, 100%, $F$11)</f>
        <v>13.105499999999999</v>
      </c>
      <c r="C506" s="8">
        <f>CHOOSE( CONTROL!$C$32, 13.1108, 13.1097) * CHOOSE(CONTROL!$C$15, $D$11, 100%, $F$11)</f>
        <v>13.110799999999999</v>
      </c>
      <c r="D506" s="8">
        <f>CHOOSE( CONTROL!$C$32, 13.1137, 13.1126) * CHOOSE( CONTROL!$C$15, $D$11, 100%, $F$11)</f>
        <v>13.1137</v>
      </c>
      <c r="E506" s="12">
        <f>CHOOSE( CONTROL!$C$32, 13.1122, 13.1111) * CHOOSE( CONTROL!$C$15, $D$11, 100%, $F$11)</f>
        <v>13.1122</v>
      </c>
      <c r="F506" s="4">
        <f>CHOOSE( CONTROL!$C$32, 13.8141, 13.8131) * CHOOSE(CONTROL!$C$15, $D$11, 100%, $F$11)</f>
        <v>13.8141</v>
      </c>
      <c r="G506" s="8">
        <f>CHOOSE( CONTROL!$C$32, 12.9641, 12.963) * CHOOSE( CONTROL!$C$15, $D$11, 100%, $F$11)</f>
        <v>12.9641</v>
      </c>
      <c r="H506" s="4">
        <f>CHOOSE( CONTROL!$C$32, 13.899, 13.8979) * CHOOSE(CONTROL!$C$15, $D$11, 100%, $F$11)</f>
        <v>13.898999999999999</v>
      </c>
      <c r="I506" s="8">
        <f>CHOOSE( CONTROL!$C$32, 12.8351, 12.8341) * CHOOSE(CONTROL!$C$15, $D$11, 100%, $F$11)</f>
        <v>12.835100000000001</v>
      </c>
      <c r="J506" s="4">
        <f>CHOOSE( CONTROL!$C$32, 12.7097, 12.7087) * CHOOSE(CONTROL!$C$15, $D$11, 100%, $F$11)</f>
        <v>12.7097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1.2927</v>
      </c>
      <c r="Q506" s="9">
        <v>19.814599999999999</v>
      </c>
      <c r="R506" s="9"/>
      <c r="S506" s="11"/>
    </row>
    <row r="507" spans="1:19" ht="15.75">
      <c r="A507" s="13">
        <v>56583</v>
      </c>
      <c r="B507" s="8">
        <f>CHOOSE( CONTROL!$C$32, 14.1331, 14.1321) * CHOOSE(CONTROL!$C$15, $D$11, 100%, $F$11)</f>
        <v>14.133100000000001</v>
      </c>
      <c r="C507" s="8">
        <f>CHOOSE( CONTROL!$C$32, 14.1382, 14.1371) * CHOOSE(CONTROL!$C$15, $D$11, 100%, $F$11)</f>
        <v>14.138199999999999</v>
      </c>
      <c r="D507" s="8">
        <f>CHOOSE( CONTROL!$C$32, 14.1204, 14.1193) * CHOOSE( CONTROL!$C$15, $D$11, 100%, $F$11)</f>
        <v>14.1204</v>
      </c>
      <c r="E507" s="12">
        <f>CHOOSE( CONTROL!$C$32, 14.1264, 14.1253) * CHOOSE( CONTROL!$C$15, $D$11, 100%, $F$11)</f>
        <v>14.1264</v>
      </c>
      <c r="F507" s="4">
        <f>CHOOSE( CONTROL!$C$32, 14.7984, 14.7973) * CHOOSE(CONTROL!$C$15, $D$11, 100%, $F$11)</f>
        <v>14.798400000000001</v>
      </c>
      <c r="G507" s="8">
        <f>CHOOSE( CONTROL!$C$32, 13.9792, 13.9781) * CHOOSE( CONTROL!$C$15, $D$11, 100%, $F$11)</f>
        <v>13.979200000000001</v>
      </c>
      <c r="H507" s="4">
        <f>CHOOSE( CONTROL!$C$32, 14.8718, 14.8707) * CHOOSE(CONTROL!$C$15, $D$11, 100%, $F$11)</f>
        <v>14.8718</v>
      </c>
      <c r="I507" s="8">
        <f>CHOOSE( CONTROL!$C$32, 13.8951, 13.8941) * CHOOSE(CONTROL!$C$15, $D$11, 100%, $F$11)</f>
        <v>13.895099999999999</v>
      </c>
      <c r="J507" s="4">
        <f>CHOOSE( CONTROL!$C$32, 13.7075, 13.7064) * CHOOSE(CONTROL!$C$15, $D$11, 100%, $F$11)</f>
        <v>13.7075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19.1754</v>
      </c>
      <c r="R507" s="9"/>
      <c r="S507" s="11"/>
    </row>
    <row r="508" spans="1:19" ht="15.75">
      <c r="A508" s="13">
        <v>56614</v>
      </c>
      <c r="B508" s="8">
        <f>CHOOSE( CONTROL!$C$32, 14.1075, 14.1064) * CHOOSE(CONTROL!$C$15, $D$11, 100%, $F$11)</f>
        <v>14.1075</v>
      </c>
      <c r="C508" s="8">
        <f>CHOOSE( CONTROL!$C$32, 14.1125, 14.1114) * CHOOSE(CONTROL!$C$15, $D$11, 100%, $F$11)</f>
        <v>14.112500000000001</v>
      </c>
      <c r="D508" s="8">
        <f>CHOOSE( CONTROL!$C$32, 14.0961, 14.0951) * CHOOSE( CONTROL!$C$15, $D$11, 100%, $F$11)</f>
        <v>14.0961</v>
      </c>
      <c r="E508" s="12">
        <f>CHOOSE( CONTROL!$C$32, 14.1016, 14.1005) * CHOOSE( CONTROL!$C$15, $D$11, 100%, $F$11)</f>
        <v>14.101599999999999</v>
      </c>
      <c r="F508" s="4">
        <f>CHOOSE( CONTROL!$C$32, 14.7727, 14.7717) * CHOOSE(CONTROL!$C$15, $D$11, 100%, $F$11)</f>
        <v>14.7727</v>
      </c>
      <c r="G508" s="8">
        <f>CHOOSE( CONTROL!$C$32, 13.9549, 13.9538) * CHOOSE( CONTROL!$C$15, $D$11, 100%, $F$11)</f>
        <v>13.9549</v>
      </c>
      <c r="H508" s="4">
        <f>CHOOSE( CONTROL!$C$32, 14.8464, 14.8453) * CHOOSE(CONTROL!$C$15, $D$11, 100%, $F$11)</f>
        <v>14.846399999999999</v>
      </c>
      <c r="I508" s="8">
        <f>CHOOSE( CONTROL!$C$32, 13.8747, 13.8736) * CHOOSE(CONTROL!$C$15, $D$11, 100%, $F$11)</f>
        <v>13.874700000000001</v>
      </c>
      <c r="J508" s="4">
        <f>CHOOSE( CONTROL!$C$32, 13.6825, 13.6815) * CHOOSE(CONTROL!$C$15, $D$11, 100%, $F$11)</f>
        <v>13.682499999999999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19.814599999999999</v>
      </c>
      <c r="R508" s="9"/>
      <c r="S508" s="11"/>
    </row>
    <row r="509" spans="1:19" ht="15.75">
      <c r="A509" s="13">
        <v>56645</v>
      </c>
      <c r="B509" s="8">
        <f>CHOOSE( CONTROL!$C$32, 14.5233, 14.5222) * CHOOSE(CONTROL!$C$15, $D$11, 100%, $F$11)</f>
        <v>14.523300000000001</v>
      </c>
      <c r="C509" s="8">
        <f>CHOOSE( CONTROL!$C$32, 14.5284, 14.5273) * CHOOSE(CONTROL!$C$15, $D$11, 100%, $F$11)</f>
        <v>14.5284</v>
      </c>
      <c r="D509" s="8">
        <f>CHOOSE( CONTROL!$C$32, 14.5071, 14.506) * CHOOSE( CONTROL!$C$15, $D$11, 100%, $F$11)</f>
        <v>14.507099999999999</v>
      </c>
      <c r="E509" s="12">
        <f>CHOOSE( CONTROL!$C$32, 14.5143, 14.5132) * CHOOSE( CONTROL!$C$15, $D$11, 100%, $F$11)</f>
        <v>14.5143</v>
      </c>
      <c r="F509" s="4">
        <f>CHOOSE( CONTROL!$C$32, 15.1886, 15.1875) * CHOOSE(CONTROL!$C$15, $D$11, 100%, $F$11)</f>
        <v>15.188599999999999</v>
      </c>
      <c r="G509" s="8">
        <f>CHOOSE( CONTROL!$C$32, 14.3553, 14.3543) * CHOOSE( CONTROL!$C$15, $D$11, 100%, $F$11)</f>
        <v>14.3553</v>
      </c>
      <c r="H509" s="4">
        <f>CHOOSE( CONTROL!$C$32, 15.2573, 15.2563) * CHOOSE(CONTROL!$C$15, $D$11, 100%, $F$11)</f>
        <v>15.257300000000001</v>
      </c>
      <c r="I509" s="8">
        <f>CHOOSE( CONTROL!$C$32, 14.2405, 14.2394) * CHOOSE(CONTROL!$C$15, $D$11, 100%, $F$11)</f>
        <v>14.240500000000001</v>
      </c>
      <c r="J509" s="4">
        <f>CHOOSE( CONTROL!$C$32, 14.0861, 14.085) * CHOOSE(CONTROL!$C$15, $D$11, 100%, $F$11)</f>
        <v>14.0861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19.751300000000001</v>
      </c>
      <c r="R509" s="9"/>
      <c r="S509" s="11"/>
    </row>
    <row r="510" spans="1:19" ht="15.75">
      <c r="A510" s="13">
        <v>56673</v>
      </c>
      <c r="B510" s="8">
        <f>CHOOSE( CONTROL!$C$32, 13.585, 13.5839) * CHOOSE(CONTROL!$C$15, $D$11, 100%, $F$11)</f>
        <v>13.585000000000001</v>
      </c>
      <c r="C510" s="8">
        <f>CHOOSE( CONTROL!$C$32, 13.5901, 13.589) * CHOOSE(CONTROL!$C$15, $D$11, 100%, $F$11)</f>
        <v>13.5901</v>
      </c>
      <c r="D510" s="8">
        <f>CHOOSE( CONTROL!$C$32, 13.5687, 13.5676) * CHOOSE( CONTROL!$C$15, $D$11, 100%, $F$11)</f>
        <v>13.5687</v>
      </c>
      <c r="E510" s="12">
        <f>CHOOSE( CONTROL!$C$32, 13.576, 13.5749) * CHOOSE( CONTROL!$C$15, $D$11, 100%, $F$11)</f>
        <v>13.576000000000001</v>
      </c>
      <c r="F510" s="4">
        <f>CHOOSE( CONTROL!$C$32, 14.2503, 14.2492) * CHOOSE(CONTROL!$C$15, $D$11, 100%, $F$11)</f>
        <v>14.250299999999999</v>
      </c>
      <c r="G510" s="8">
        <f>CHOOSE( CONTROL!$C$32, 13.428, 13.4269) * CHOOSE( CONTROL!$C$15, $D$11, 100%, $F$11)</f>
        <v>13.428000000000001</v>
      </c>
      <c r="H510" s="4">
        <f>CHOOSE( CONTROL!$C$32, 14.3301, 14.329) * CHOOSE(CONTROL!$C$15, $D$11, 100%, $F$11)</f>
        <v>14.3301</v>
      </c>
      <c r="I510" s="8">
        <f>CHOOSE( CONTROL!$C$32, 13.329, 13.328) * CHOOSE(CONTROL!$C$15, $D$11, 100%, $F$11)</f>
        <v>13.329000000000001</v>
      </c>
      <c r="J510" s="4">
        <f>CHOOSE( CONTROL!$C$32, 13.1755, 13.1745) * CHOOSE(CONTROL!$C$15, $D$11, 100%, $F$11)</f>
        <v>13.1755</v>
      </c>
      <c r="K510" s="4"/>
      <c r="L510" s="9">
        <v>26.469899999999999</v>
      </c>
      <c r="M510" s="9">
        <v>10.8962</v>
      </c>
      <c r="N510" s="9">
        <v>4.4660000000000002</v>
      </c>
      <c r="O510" s="9">
        <v>0.33789999999999998</v>
      </c>
      <c r="P510" s="9">
        <v>1.1676</v>
      </c>
      <c r="Q510" s="9">
        <v>17.8399</v>
      </c>
      <c r="R510" s="9"/>
      <c r="S510" s="11"/>
    </row>
    <row r="511" spans="1:19" ht="15.75">
      <c r="A511" s="13">
        <v>56704</v>
      </c>
      <c r="B511" s="8">
        <f>CHOOSE( CONTROL!$C$32, 13.296, 13.295) * CHOOSE(CONTROL!$C$15, $D$11, 100%, $F$11)</f>
        <v>13.295999999999999</v>
      </c>
      <c r="C511" s="8">
        <f>CHOOSE( CONTROL!$C$32, 13.3011, 13.3) * CHOOSE(CONTROL!$C$15, $D$11, 100%, $F$11)</f>
        <v>13.3011</v>
      </c>
      <c r="D511" s="8">
        <f>CHOOSE( CONTROL!$C$32, 13.2791, 13.278) * CHOOSE( CONTROL!$C$15, $D$11, 100%, $F$11)</f>
        <v>13.2791</v>
      </c>
      <c r="E511" s="12">
        <f>CHOOSE( CONTROL!$C$32, 13.2866, 13.2855) * CHOOSE( CONTROL!$C$15, $D$11, 100%, $F$11)</f>
        <v>13.2866</v>
      </c>
      <c r="F511" s="4">
        <f>CHOOSE( CONTROL!$C$32, 13.9613, 13.9602) * CHOOSE(CONTROL!$C$15, $D$11, 100%, $F$11)</f>
        <v>13.9613</v>
      </c>
      <c r="G511" s="8">
        <f>CHOOSE( CONTROL!$C$32, 13.1419, 13.1408) * CHOOSE( CONTROL!$C$15, $D$11, 100%, $F$11)</f>
        <v>13.1419</v>
      </c>
      <c r="H511" s="4">
        <f>CHOOSE( CONTROL!$C$32, 14.0445, 14.0434) * CHOOSE(CONTROL!$C$15, $D$11, 100%, $F$11)</f>
        <v>14.044499999999999</v>
      </c>
      <c r="I511" s="8">
        <f>CHOOSE( CONTROL!$C$32, 13.0465, 13.0454) * CHOOSE(CONTROL!$C$15, $D$11, 100%, $F$11)</f>
        <v>13.0465</v>
      </c>
      <c r="J511" s="4">
        <f>CHOOSE( CONTROL!$C$32, 12.8951, 12.894) * CHOOSE(CONTROL!$C$15, $D$11, 100%, $F$11)</f>
        <v>12.895099999999999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19.751300000000001</v>
      </c>
      <c r="R511" s="9"/>
      <c r="S511" s="11"/>
    </row>
    <row r="512" spans="1:19" ht="15.75">
      <c r="A512" s="13">
        <v>56734</v>
      </c>
      <c r="B512" s="8">
        <f>CHOOSE( CONTROL!$C$32, 13.4987, 13.4977) * CHOOSE(CONTROL!$C$15, $D$11, 100%, $F$11)</f>
        <v>13.498699999999999</v>
      </c>
      <c r="C512" s="8">
        <f>CHOOSE( CONTROL!$C$32, 13.5033, 13.5022) * CHOOSE(CONTROL!$C$15, $D$11, 100%, $F$11)</f>
        <v>13.503299999999999</v>
      </c>
      <c r="D512" s="8">
        <f>CHOOSE( CONTROL!$C$32, 13.5061, 13.505) * CHOOSE( CONTROL!$C$15, $D$11, 100%, $F$11)</f>
        <v>13.5061</v>
      </c>
      <c r="E512" s="12">
        <f>CHOOSE( CONTROL!$C$32, 13.5047, 13.5036) * CHOOSE( CONTROL!$C$15, $D$11, 100%, $F$11)</f>
        <v>13.5047</v>
      </c>
      <c r="F512" s="4">
        <f>CHOOSE( CONTROL!$C$32, 14.2071, 14.206) * CHOOSE(CONTROL!$C$15, $D$11, 100%, $F$11)</f>
        <v>14.207100000000001</v>
      </c>
      <c r="G512" s="8">
        <f>CHOOSE( CONTROL!$C$32, 13.352, 13.3509) * CHOOSE( CONTROL!$C$15, $D$11, 100%, $F$11)</f>
        <v>13.352</v>
      </c>
      <c r="H512" s="4">
        <f>CHOOSE( CONTROL!$C$32, 14.2873, 14.2863) * CHOOSE(CONTROL!$C$15, $D$11, 100%, $F$11)</f>
        <v>14.2873</v>
      </c>
      <c r="I512" s="8">
        <f>CHOOSE( CONTROL!$C$32, 13.2148, 13.2137) * CHOOSE(CONTROL!$C$15, $D$11, 100%, $F$11)</f>
        <v>13.2148</v>
      </c>
      <c r="J512" s="4">
        <f>CHOOSE( CONTROL!$C$32, 13.091, 13.09) * CHOOSE(CONTROL!$C$15, $D$11, 100%, $F$11)</f>
        <v>13.090999999999999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1.2509999999999999</v>
      </c>
      <c r="Q512" s="9">
        <v>19.1142</v>
      </c>
      <c r="R512" s="9"/>
      <c r="S512" s="11"/>
    </row>
    <row r="513" spans="1:19" ht="15.75">
      <c r="A513" s="13">
        <v>56765</v>
      </c>
      <c r="B513" s="8">
        <f>CHOOSE( CONTROL!$C$32, 13.8601, 13.8584) * CHOOSE(CONTROL!$C$15, $D$11, 100%, $F$11)</f>
        <v>13.860099999999999</v>
      </c>
      <c r="C513" s="8">
        <f>CHOOSE( CONTROL!$C$32, 13.8681, 13.8664) * CHOOSE(CONTROL!$C$15, $D$11, 100%, $F$11)</f>
        <v>13.8681</v>
      </c>
      <c r="D513" s="8">
        <f>CHOOSE( CONTROL!$C$32, 13.8648, 13.8631) * CHOOSE( CONTROL!$C$15, $D$11, 100%, $F$11)</f>
        <v>13.864800000000001</v>
      </c>
      <c r="E513" s="12">
        <f>CHOOSE( CONTROL!$C$32, 13.8648, 13.8631) * CHOOSE( CONTROL!$C$15, $D$11, 100%, $F$11)</f>
        <v>13.864800000000001</v>
      </c>
      <c r="F513" s="4">
        <f>CHOOSE( CONTROL!$C$32, 14.567, 14.5654) * CHOOSE(CONTROL!$C$15, $D$11, 100%, $F$11)</f>
        <v>14.567</v>
      </c>
      <c r="G513" s="8">
        <f>CHOOSE( CONTROL!$C$32, 13.7076, 13.7059) * CHOOSE( CONTROL!$C$15, $D$11, 100%, $F$11)</f>
        <v>13.707599999999999</v>
      </c>
      <c r="H513" s="4">
        <f>CHOOSE( CONTROL!$C$32, 14.6431, 14.6414) * CHOOSE(CONTROL!$C$15, $D$11, 100%, $F$11)</f>
        <v>14.6431</v>
      </c>
      <c r="I513" s="8">
        <f>CHOOSE( CONTROL!$C$32, 13.5636, 13.562) * CHOOSE(CONTROL!$C$15, $D$11, 100%, $F$11)</f>
        <v>13.563599999999999</v>
      </c>
      <c r="J513" s="4">
        <f>CHOOSE( CONTROL!$C$32, 13.4404, 13.4388) * CHOOSE(CONTROL!$C$15, $D$11, 100%, $F$11)</f>
        <v>13.4404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1.2927</v>
      </c>
      <c r="Q513" s="9">
        <v>19.751300000000001</v>
      </c>
      <c r="R513" s="9"/>
      <c r="S513" s="11"/>
    </row>
    <row r="514" spans="1:19" ht="15.75">
      <c r="A514" s="13">
        <v>56795</v>
      </c>
      <c r="B514" s="8">
        <f>CHOOSE( CONTROL!$C$32, 13.6374, 13.6358) * CHOOSE(CONTROL!$C$15, $D$11, 100%, $F$11)</f>
        <v>13.6374</v>
      </c>
      <c r="C514" s="8">
        <f>CHOOSE( CONTROL!$C$32, 13.6454, 13.6438) * CHOOSE(CONTROL!$C$15, $D$11, 100%, $F$11)</f>
        <v>13.6454</v>
      </c>
      <c r="D514" s="8">
        <f>CHOOSE( CONTROL!$C$32, 13.6424, 13.6407) * CHOOSE( CONTROL!$C$15, $D$11, 100%, $F$11)</f>
        <v>13.6424</v>
      </c>
      <c r="E514" s="12">
        <f>CHOOSE( CONTROL!$C$32, 13.6423, 13.6406) * CHOOSE( CONTROL!$C$15, $D$11, 100%, $F$11)</f>
        <v>13.642300000000001</v>
      </c>
      <c r="F514" s="4">
        <f>CHOOSE( CONTROL!$C$32, 14.3444, 14.3427) * CHOOSE(CONTROL!$C$15, $D$11, 100%, $F$11)</f>
        <v>14.3444</v>
      </c>
      <c r="G514" s="8">
        <f>CHOOSE( CONTROL!$C$32, 13.4877, 13.4861) * CHOOSE( CONTROL!$C$15, $D$11, 100%, $F$11)</f>
        <v>13.4877</v>
      </c>
      <c r="H514" s="4">
        <f>CHOOSE( CONTROL!$C$32, 14.423, 14.4214) * CHOOSE(CONTROL!$C$15, $D$11, 100%, $F$11)</f>
        <v>14.423</v>
      </c>
      <c r="I514" s="8">
        <f>CHOOSE( CONTROL!$C$32, 13.3482, 13.3466) * CHOOSE(CONTROL!$C$15, $D$11, 100%, $F$11)</f>
        <v>13.3482</v>
      </c>
      <c r="J514" s="4">
        <f>CHOOSE( CONTROL!$C$32, 13.2243, 13.2227) * CHOOSE(CONTROL!$C$15, $D$11, 100%, $F$11)</f>
        <v>13.224299999999999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1.2509999999999999</v>
      </c>
      <c r="Q514" s="9">
        <v>19.1142</v>
      </c>
      <c r="R514" s="9"/>
      <c r="S514" s="11"/>
    </row>
    <row r="515" spans="1:19" ht="15.75">
      <c r="A515" s="13">
        <v>56826</v>
      </c>
      <c r="B515" s="8">
        <f>CHOOSE( CONTROL!$C$32, 14.2237, 14.2221) * CHOOSE(CONTROL!$C$15, $D$11, 100%, $F$11)</f>
        <v>14.223699999999999</v>
      </c>
      <c r="C515" s="8">
        <f>CHOOSE( CONTROL!$C$32, 14.2317, 14.23) * CHOOSE(CONTROL!$C$15, $D$11, 100%, $F$11)</f>
        <v>14.2317</v>
      </c>
      <c r="D515" s="8">
        <f>CHOOSE( CONTROL!$C$32, 14.2289, 14.2272) * CHOOSE( CONTROL!$C$15, $D$11, 100%, $F$11)</f>
        <v>14.228899999999999</v>
      </c>
      <c r="E515" s="12">
        <f>CHOOSE( CONTROL!$C$32, 14.2287, 14.227) * CHOOSE( CONTROL!$C$15, $D$11, 100%, $F$11)</f>
        <v>14.2287</v>
      </c>
      <c r="F515" s="4">
        <f>CHOOSE( CONTROL!$C$32, 14.9307, 14.929) * CHOOSE(CONTROL!$C$15, $D$11, 100%, $F$11)</f>
        <v>14.9307</v>
      </c>
      <c r="G515" s="8">
        <f>CHOOSE( CONTROL!$C$32, 14.0673, 14.0657) * CHOOSE( CONTROL!$C$15, $D$11, 100%, $F$11)</f>
        <v>14.067299999999999</v>
      </c>
      <c r="H515" s="4">
        <f>CHOOSE( CONTROL!$C$32, 15.0025, 15.0008) * CHOOSE(CONTROL!$C$15, $D$11, 100%, $F$11)</f>
        <v>15.0025</v>
      </c>
      <c r="I515" s="8">
        <f>CHOOSE( CONTROL!$C$32, 13.9183, 13.9167) * CHOOSE(CONTROL!$C$15, $D$11, 100%, $F$11)</f>
        <v>13.9183</v>
      </c>
      <c r="J515" s="4">
        <f>CHOOSE( CONTROL!$C$32, 13.7933, 13.7917) * CHOOSE(CONTROL!$C$15, $D$11, 100%, $F$11)</f>
        <v>13.7933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1.2927</v>
      </c>
      <c r="Q515" s="9">
        <v>19.751300000000001</v>
      </c>
      <c r="R515" s="9"/>
      <c r="S515" s="11"/>
    </row>
    <row r="516" spans="1:19" ht="15.75">
      <c r="A516" s="13">
        <v>56857</v>
      </c>
      <c r="B516" s="8">
        <f>CHOOSE( CONTROL!$C$32, 13.1267, 13.1251) * CHOOSE(CONTROL!$C$15, $D$11, 100%, $F$11)</f>
        <v>13.1267</v>
      </c>
      <c r="C516" s="8">
        <f>CHOOSE( CONTROL!$C$32, 13.1347, 13.1331) * CHOOSE(CONTROL!$C$15, $D$11, 100%, $F$11)</f>
        <v>13.1347</v>
      </c>
      <c r="D516" s="8">
        <f>CHOOSE( CONTROL!$C$32, 13.132, 13.1304) * CHOOSE( CONTROL!$C$15, $D$11, 100%, $F$11)</f>
        <v>13.132</v>
      </c>
      <c r="E516" s="12">
        <f>CHOOSE( CONTROL!$C$32, 13.1318, 13.1302) * CHOOSE( CONTROL!$C$15, $D$11, 100%, $F$11)</f>
        <v>13.1318</v>
      </c>
      <c r="F516" s="4">
        <f>CHOOSE( CONTROL!$C$32, 13.8337, 13.832) * CHOOSE(CONTROL!$C$15, $D$11, 100%, $F$11)</f>
        <v>13.8337</v>
      </c>
      <c r="G516" s="8">
        <f>CHOOSE( CONTROL!$C$32, 12.9833, 12.9816) * CHOOSE( CONTROL!$C$15, $D$11, 100%, $F$11)</f>
        <v>12.9833</v>
      </c>
      <c r="H516" s="4">
        <f>CHOOSE( CONTROL!$C$32, 13.9183, 13.9167) * CHOOSE(CONTROL!$C$15, $D$11, 100%, $F$11)</f>
        <v>13.9183</v>
      </c>
      <c r="I516" s="8">
        <f>CHOOSE( CONTROL!$C$32, 12.8535, 12.8519) * CHOOSE(CONTROL!$C$15, $D$11, 100%, $F$11)</f>
        <v>12.8535</v>
      </c>
      <c r="J516" s="4">
        <f>CHOOSE( CONTROL!$C$32, 12.7287, 12.7271) * CHOOSE(CONTROL!$C$15, $D$11, 100%, $F$11)</f>
        <v>12.7287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1.2927</v>
      </c>
      <c r="Q516" s="9">
        <v>19.751300000000001</v>
      </c>
      <c r="R516" s="9"/>
      <c r="S516" s="11"/>
    </row>
    <row r="517" spans="1:19" ht="15.75">
      <c r="A517" s="13">
        <v>56887</v>
      </c>
      <c r="B517" s="8">
        <f>CHOOSE( CONTROL!$C$32, 12.852, 12.8504) * CHOOSE(CONTROL!$C$15, $D$11, 100%, $F$11)</f>
        <v>12.852</v>
      </c>
      <c r="C517" s="8">
        <f>CHOOSE( CONTROL!$C$32, 12.86, 12.8584) * CHOOSE(CONTROL!$C$15, $D$11, 100%, $F$11)</f>
        <v>12.86</v>
      </c>
      <c r="D517" s="8">
        <f>CHOOSE( CONTROL!$C$32, 12.8573, 12.8556) * CHOOSE( CONTROL!$C$15, $D$11, 100%, $F$11)</f>
        <v>12.8573</v>
      </c>
      <c r="E517" s="12">
        <f>CHOOSE( CONTROL!$C$32, 12.8571, 12.8554) * CHOOSE( CONTROL!$C$15, $D$11, 100%, $F$11)</f>
        <v>12.857100000000001</v>
      </c>
      <c r="F517" s="4">
        <f>CHOOSE( CONTROL!$C$32, 13.559, 13.5573) * CHOOSE(CONTROL!$C$15, $D$11, 100%, $F$11)</f>
        <v>13.558999999999999</v>
      </c>
      <c r="G517" s="8">
        <f>CHOOSE( CONTROL!$C$32, 12.7118, 12.7101) * CHOOSE( CONTROL!$C$15, $D$11, 100%, $F$11)</f>
        <v>12.7118</v>
      </c>
      <c r="H517" s="4">
        <f>CHOOSE( CONTROL!$C$32, 13.6468, 13.6452) * CHOOSE(CONTROL!$C$15, $D$11, 100%, $F$11)</f>
        <v>13.646800000000001</v>
      </c>
      <c r="I517" s="8">
        <f>CHOOSE( CONTROL!$C$32, 12.5866, 12.585) * CHOOSE(CONTROL!$C$15, $D$11, 100%, $F$11)</f>
        <v>12.586600000000001</v>
      </c>
      <c r="J517" s="4">
        <f>CHOOSE( CONTROL!$C$32, 12.4621, 12.4605) * CHOOSE(CONTROL!$C$15, $D$11, 100%, $F$11)</f>
        <v>12.4621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1.2509999999999999</v>
      </c>
      <c r="Q517" s="9">
        <v>19.1142</v>
      </c>
      <c r="R517" s="9"/>
      <c r="S517" s="11"/>
    </row>
    <row r="518" spans="1:19" ht="15.75">
      <c r="A518" s="13">
        <v>56918</v>
      </c>
      <c r="B518" s="8">
        <f>CHOOSE( CONTROL!$C$32, 13.4201, 13.419) * CHOOSE(CONTROL!$C$15, $D$11, 100%, $F$11)</f>
        <v>13.4201</v>
      </c>
      <c r="C518" s="8">
        <f>CHOOSE( CONTROL!$C$32, 13.4254, 13.4244) * CHOOSE(CONTROL!$C$15, $D$11, 100%, $F$11)</f>
        <v>13.4254</v>
      </c>
      <c r="D518" s="8">
        <f>CHOOSE( CONTROL!$C$32, 13.4283, 13.4273) * CHOOSE( CONTROL!$C$15, $D$11, 100%, $F$11)</f>
        <v>13.4283</v>
      </c>
      <c r="E518" s="12">
        <f>CHOOSE( CONTROL!$C$32, 13.4268, 13.4258) * CHOOSE( CONTROL!$C$15, $D$11, 100%, $F$11)</f>
        <v>13.4268</v>
      </c>
      <c r="F518" s="4">
        <f>CHOOSE( CONTROL!$C$32, 14.1288, 14.1277) * CHOOSE(CONTROL!$C$15, $D$11, 100%, $F$11)</f>
        <v>14.1288</v>
      </c>
      <c r="G518" s="8">
        <f>CHOOSE( CONTROL!$C$32, 13.275, 13.274) * CHOOSE( CONTROL!$C$15, $D$11, 100%, $F$11)</f>
        <v>13.275</v>
      </c>
      <c r="H518" s="4">
        <f>CHOOSE( CONTROL!$C$32, 14.21, 14.2089) * CHOOSE(CONTROL!$C$15, $D$11, 100%, $F$11)</f>
        <v>14.21</v>
      </c>
      <c r="I518" s="8">
        <f>CHOOSE( CONTROL!$C$32, 13.1406, 13.1396) * CHOOSE(CONTROL!$C$15, $D$11, 100%, $F$11)</f>
        <v>13.140599999999999</v>
      </c>
      <c r="J518" s="4">
        <f>CHOOSE( CONTROL!$C$32, 13.0151, 13.014) * CHOOSE(CONTROL!$C$15, $D$11, 100%, $F$11)</f>
        <v>13.0151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1.2927</v>
      </c>
      <c r="Q518" s="9">
        <v>19.751300000000001</v>
      </c>
      <c r="R518" s="9"/>
      <c r="S518" s="11"/>
    </row>
    <row r="519" spans="1:19" ht="15.75">
      <c r="A519" s="13">
        <v>56948</v>
      </c>
      <c r="B519" s="8">
        <f>CHOOSE( CONTROL!$C$32, 14.4725, 14.4714) * CHOOSE(CONTROL!$C$15, $D$11, 100%, $F$11)</f>
        <v>14.4725</v>
      </c>
      <c r="C519" s="8">
        <f>CHOOSE( CONTROL!$C$32, 14.4776, 14.4765) * CHOOSE(CONTROL!$C$15, $D$11, 100%, $F$11)</f>
        <v>14.477600000000001</v>
      </c>
      <c r="D519" s="8">
        <f>CHOOSE( CONTROL!$C$32, 14.4597, 14.4586) * CHOOSE( CONTROL!$C$15, $D$11, 100%, $F$11)</f>
        <v>14.4597</v>
      </c>
      <c r="E519" s="12">
        <f>CHOOSE( CONTROL!$C$32, 14.4657, 14.4646) * CHOOSE( CONTROL!$C$15, $D$11, 100%, $F$11)</f>
        <v>14.4657</v>
      </c>
      <c r="F519" s="4">
        <f>CHOOSE( CONTROL!$C$32, 15.1378, 15.1367) * CHOOSE(CONTROL!$C$15, $D$11, 100%, $F$11)</f>
        <v>15.1378</v>
      </c>
      <c r="G519" s="8">
        <f>CHOOSE( CONTROL!$C$32, 14.3146, 14.3135) * CHOOSE( CONTROL!$C$15, $D$11, 100%, $F$11)</f>
        <v>14.3146</v>
      </c>
      <c r="H519" s="4">
        <f>CHOOSE( CONTROL!$C$32, 15.2071, 15.2061) * CHOOSE(CONTROL!$C$15, $D$11, 100%, $F$11)</f>
        <v>15.207100000000001</v>
      </c>
      <c r="I519" s="8">
        <f>CHOOSE( CONTROL!$C$32, 14.2246, 14.2236) * CHOOSE(CONTROL!$C$15, $D$11, 100%, $F$11)</f>
        <v>14.224600000000001</v>
      </c>
      <c r="J519" s="4">
        <f>CHOOSE( CONTROL!$C$32, 14.0368, 14.0357) * CHOOSE(CONTROL!$C$15, $D$11, 100%, $F$11)</f>
        <v>14.036799999999999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19.1142</v>
      </c>
      <c r="R519" s="9"/>
      <c r="S519" s="11"/>
    </row>
    <row r="520" spans="1:19" ht="15.75">
      <c r="A520" s="13">
        <v>56979</v>
      </c>
      <c r="B520" s="8">
        <f>CHOOSE( CONTROL!$C$32, 14.4462, 14.4451) * CHOOSE(CONTROL!$C$15, $D$11, 100%, $F$11)</f>
        <v>14.446199999999999</v>
      </c>
      <c r="C520" s="8">
        <f>CHOOSE( CONTROL!$C$32, 14.4513, 14.4502) * CHOOSE(CONTROL!$C$15, $D$11, 100%, $F$11)</f>
        <v>14.4513</v>
      </c>
      <c r="D520" s="8">
        <f>CHOOSE( CONTROL!$C$32, 14.4349, 14.4338) * CHOOSE( CONTROL!$C$15, $D$11, 100%, $F$11)</f>
        <v>14.434900000000001</v>
      </c>
      <c r="E520" s="12">
        <f>CHOOSE( CONTROL!$C$32, 14.4404, 14.4393) * CHOOSE( CONTROL!$C$15, $D$11, 100%, $F$11)</f>
        <v>14.4404</v>
      </c>
      <c r="F520" s="4">
        <f>CHOOSE( CONTROL!$C$32, 15.1115, 15.1104) * CHOOSE(CONTROL!$C$15, $D$11, 100%, $F$11)</f>
        <v>15.111499999999999</v>
      </c>
      <c r="G520" s="8">
        <f>CHOOSE( CONTROL!$C$32, 14.2896, 14.2885) * CHOOSE( CONTROL!$C$15, $D$11, 100%, $F$11)</f>
        <v>14.2896</v>
      </c>
      <c r="H520" s="4">
        <f>CHOOSE( CONTROL!$C$32, 15.1811, 15.1801) * CHOOSE(CONTROL!$C$15, $D$11, 100%, $F$11)</f>
        <v>15.181100000000001</v>
      </c>
      <c r="I520" s="8">
        <f>CHOOSE( CONTROL!$C$32, 14.2036, 14.2025) * CHOOSE(CONTROL!$C$15, $D$11, 100%, $F$11)</f>
        <v>14.2036</v>
      </c>
      <c r="J520" s="4">
        <f>CHOOSE( CONTROL!$C$32, 14.0113, 14.0102) * CHOOSE(CONTROL!$C$15, $D$11, 100%, $F$11)</f>
        <v>14.0113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19.751300000000001</v>
      </c>
      <c r="R520" s="9"/>
      <c r="S520" s="11"/>
    </row>
    <row r="521" spans="1:19" ht="15.75">
      <c r="A521" s="13">
        <v>57010</v>
      </c>
      <c r="B521" s="8">
        <f>CHOOSE( CONTROL!$C$32, 14.872, 14.8709) * CHOOSE(CONTROL!$C$15, $D$11, 100%, $F$11)</f>
        <v>14.872</v>
      </c>
      <c r="C521" s="8">
        <f>CHOOSE( CONTROL!$C$32, 14.8771, 14.876) * CHOOSE(CONTROL!$C$15, $D$11, 100%, $F$11)</f>
        <v>14.8771</v>
      </c>
      <c r="D521" s="8">
        <f>CHOOSE( CONTROL!$C$32, 14.8558, 14.8547) * CHOOSE( CONTROL!$C$15, $D$11, 100%, $F$11)</f>
        <v>14.8558</v>
      </c>
      <c r="E521" s="12">
        <f>CHOOSE( CONTROL!$C$32, 14.863, 14.8619) * CHOOSE( CONTROL!$C$15, $D$11, 100%, $F$11)</f>
        <v>14.863</v>
      </c>
      <c r="F521" s="4">
        <f>CHOOSE( CONTROL!$C$32, 15.5373, 15.5362) * CHOOSE(CONTROL!$C$15, $D$11, 100%, $F$11)</f>
        <v>15.5373</v>
      </c>
      <c r="G521" s="8">
        <f>CHOOSE( CONTROL!$C$32, 14.7, 14.6989) * CHOOSE( CONTROL!$C$15, $D$11, 100%, $F$11)</f>
        <v>14.7</v>
      </c>
      <c r="H521" s="4">
        <f>CHOOSE( CONTROL!$C$32, 15.602, 15.6009) * CHOOSE(CONTROL!$C$15, $D$11, 100%, $F$11)</f>
        <v>15.602</v>
      </c>
      <c r="I521" s="8">
        <f>CHOOSE( CONTROL!$C$32, 14.5791, 14.578) * CHOOSE(CONTROL!$C$15, $D$11, 100%, $F$11)</f>
        <v>14.5791</v>
      </c>
      <c r="J521" s="4">
        <f>CHOOSE( CONTROL!$C$32, 14.4245, 14.4235) * CHOOSE(CONTROL!$C$15, $D$11, 100%, $F$11)</f>
        <v>14.4245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57038</v>
      </c>
      <c r="B522" s="8">
        <f>CHOOSE( CONTROL!$C$32, 13.9112, 13.9101) * CHOOSE(CONTROL!$C$15, $D$11, 100%, $F$11)</f>
        <v>13.911199999999999</v>
      </c>
      <c r="C522" s="8">
        <f>CHOOSE( CONTROL!$C$32, 13.9163, 13.9152) * CHOOSE(CONTROL!$C$15, $D$11, 100%, $F$11)</f>
        <v>13.9163</v>
      </c>
      <c r="D522" s="8">
        <f>CHOOSE( CONTROL!$C$32, 13.8949, 13.8938) * CHOOSE( CONTROL!$C$15, $D$11, 100%, $F$11)</f>
        <v>13.8949</v>
      </c>
      <c r="E522" s="12">
        <f>CHOOSE( CONTROL!$C$32, 13.9022, 13.9011) * CHOOSE( CONTROL!$C$15, $D$11, 100%, $F$11)</f>
        <v>13.902200000000001</v>
      </c>
      <c r="F522" s="4">
        <f>CHOOSE( CONTROL!$C$32, 14.5765, 14.5754) * CHOOSE(CONTROL!$C$15, $D$11, 100%, $F$11)</f>
        <v>14.576499999999999</v>
      </c>
      <c r="G522" s="8">
        <f>CHOOSE( CONTROL!$C$32, 13.7503, 13.7492) * CHOOSE( CONTROL!$C$15, $D$11, 100%, $F$11)</f>
        <v>13.750299999999999</v>
      </c>
      <c r="H522" s="4">
        <f>CHOOSE( CONTROL!$C$32, 14.6524, 14.6513) * CHOOSE(CONTROL!$C$15, $D$11, 100%, $F$11)</f>
        <v>14.6524</v>
      </c>
      <c r="I522" s="8">
        <f>CHOOSE( CONTROL!$C$32, 13.6457, 13.6447) * CHOOSE(CONTROL!$C$15, $D$11, 100%, $F$11)</f>
        <v>13.6457</v>
      </c>
      <c r="J522" s="4">
        <f>CHOOSE( CONTROL!$C$32, 13.4921, 13.491) * CHOOSE(CONTROL!$C$15, $D$11, 100%, $F$11)</f>
        <v>13.492100000000001</v>
      </c>
      <c r="K522" s="4"/>
      <c r="L522" s="9">
        <v>27.415299999999998</v>
      </c>
      <c r="M522" s="9">
        <v>11.285299999999999</v>
      </c>
      <c r="N522" s="9">
        <v>4.6254999999999997</v>
      </c>
      <c r="O522" s="9">
        <v>0.34989999999999999</v>
      </c>
      <c r="P522" s="9">
        <v>1.2093</v>
      </c>
      <c r="Q522" s="9">
        <v>18.417899999999999</v>
      </c>
      <c r="R522" s="9"/>
      <c r="S522" s="11"/>
    </row>
    <row r="523" spans="1:19" ht="15.75">
      <c r="A523" s="13">
        <v>57070</v>
      </c>
      <c r="B523" s="8">
        <f>CHOOSE( CONTROL!$C$32, 13.6153, 13.6142) * CHOOSE(CONTROL!$C$15, $D$11, 100%, $F$11)</f>
        <v>13.6153</v>
      </c>
      <c r="C523" s="8">
        <f>CHOOSE( CONTROL!$C$32, 13.6204, 13.6193) * CHOOSE(CONTROL!$C$15, $D$11, 100%, $F$11)</f>
        <v>13.6204</v>
      </c>
      <c r="D523" s="8">
        <f>CHOOSE( CONTROL!$C$32, 13.5983, 13.5972) * CHOOSE( CONTROL!$C$15, $D$11, 100%, $F$11)</f>
        <v>13.5983</v>
      </c>
      <c r="E523" s="12">
        <f>CHOOSE( CONTROL!$C$32, 13.6058, 13.6047) * CHOOSE( CONTROL!$C$15, $D$11, 100%, $F$11)</f>
        <v>13.6058</v>
      </c>
      <c r="F523" s="4">
        <f>CHOOSE( CONTROL!$C$32, 14.2806, 14.2795) * CHOOSE(CONTROL!$C$15, $D$11, 100%, $F$11)</f>
        <v>14.2806</v>
      </c>
      <c r="G523" s="8">
        <f>CHOOSE( CONTROL!$C$32, 13.4574, 13.4563) * CHOOSE( CONTROL!$C$15, $D$11, 100%, $F$11)</f>
        <v>13.4574</v>
      </c>
      <c r="H523" s="4">
        <f>CHOOSE( CONTROL!$C$32, 14.36, 14.3589) * CHOOSE(CONTROL!$C$15, $D$11, 100%, $F$11)</f>
        <v>14.36</v>
      </c>
      <c r="I523" s="8">
        <f>CHOOSE( CONTROL!$C$32, 13.3564, 13.3554) * CHOOSE(CONTROL!$C$15, $D$11, 100%, $F$11)</f>
        <v>13.356400000000001</v>
      </c>
      <c r="J523" s="4">
        <f>CHOOSE( CONTROL!$C$32, 13.2049, 13.2038) * CHOOSE(CONTROL!$C$15, $D$11, 100%, $F$11)</f>
        <v>13.2049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57100</v>
      </c>
      <c r="B524" s="8">
        <f>CHOOSE( CONTROL!$C$32, 13.8228, 13.8217) * CHOOSE(CONTROL!$C$15, $D$11, 100%, $F$11)</f>
        <v>13.822800000000001</v>
      </c>
      <c r="C524" s="8">
        <f>CHOOSE( CONTROL!$C$32, 13.8273, 13.8262) * CHOOSE(CONTROL!$C$15, $D$11, 100%, $F$11)</f>
        <v>13.827299999999999</v>
      </c>
      <c r="D524" s="8">
        <f>CHOOSE( CONTROL!$C$32, 13.8302, 13.8291) * CHOOSE( CONTROL!$C$15, $D$11, 100%, $F$11)</f>
        <v>13.8302</v>
      </c>
      <c r="E524" s="12">
        <f>CHOOSE( CONTROL!$C$32, 13.8287, 13.8276) * CHOOSE( CONTROL!$C$15, $D$11, 100%, $F$11)</f>
        <v>13.8287</v>
      </c>
      <c r="F524" s="4">
        <f>CHOOSE( CONTROL!$C$32, 14.5311, 14.5301) * CHOOSE(CONTROL!$C$15, $D$11, 100%, $F$11)</f>
        <v>14.5311</v>
      </c>
      <c r="G524" s="8">
        <f>CHOOSE( CONTROL!$C$32, 13.6722, 13.6712) * CHOOSE( CONTROL!$C$15, $D$11, 100%, $F$11)</f>
        <v>13.6722</v>
      </c>
      <c r="H524" s="4">
        <f>CHOOSE( CONTROL!$C$32, 14.6076, 14.6065) * CHOOSE(CONTROL!$C$15, $D$11, 100%, $F$11)</f>
        <v>14.6076</v>
      </c>
      <c r="I524" s="8">
        <f>CHOOSE( CONTROL!$C$32, 13.5295, 13.5284) * CHOOSE(CONTROL!$C$15, $D$11, 100%, $F$11)</f>
        <v>13.529500000000001</v>
      </c>
      <c r="J524" s="4">
        <f>CHOOSE( CONTROL!$C$32, 13.4056, 13.4045) * CHOOSE(CONTROL!$C$15, $D$11, 100%, $F$11)</f>
        <v>13.4056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1.2509999999999999</v>
      </c>
      <c r="Q524" s="9">
        <v>19.053000000000001</v>
      </c>
      <c r="R524" s="9"/>
      <c r="S524" s="11"/>
    </row>
    <row r="525" spans="1:19" ht="15.75">
      <c r="A525" s="13">
        <v>57131</v>
      </c>
      <c r="B525" s="8">
        <f>CHOOSE( CONTROL!$C$32, 14.1928, 14.1911) * CHOOSE(CONTROL!$C$15, $D$11, 100%, $F$11)</f>
        <v>14.1928</v>
      </c>
      <c r="C525" s="8">
        <f>CHOOSE( CONTROL!$C$32, 14.2008, 14.1991) * CHOOSE(CONTROL!$C$15, $D$11, 100%, $F$11)</f>
        <v>14.200799999999999</v>
      </c>
      <c r="D525" s="8">
        <f>CHOOSE( CONTROL!$C$32, 14.1975, 14.1959) * CHOOSE( CONTROL!$C$15, $D$11, 100%, $F$11)</f>
        <v>14.1975</v>
      </c>
      <c r="E525" s="12">
        <f>CHOOSE( CONTROL!$C$32, 14.1975, 14.1958) * CHOOSE( CONTROL!$C$15, $D$11, 100%, $F$11)</f>
        <v>14.1975</v>
      </c>
      <c r="F525" s="4">
        <f>CHOOSE( CONTROL!$C$32, 14.8997, 14.8981) * CHOOSE(CONTROL!$C$15, $D$11, 100%, $F$11)</f>
        <v>14.899699999999999</v>
      </c>
      <c r="G525" s="8">
        <f>CHOOSE( CONTROL!$C$32, 14.0364, 14.0347) * CHOOSE( CONTROL!$C$15, $D$11, 100%, $F$11)</f>
        <v>14.0364</v>
      </c>
      <c r="H525" s="4">
        <f>CHOOSE( CONTROL!$C$32, 14.9719, 14.9703) * CHOOSE(CONTROL!$C$15, $D$11, 100%, $F$11)</f>
        <v>14.9719</v>
      </c>
      <c r="I525" s="8">
        <f>CHOOSE( CONTROL!$C$32, 13.8866, 13.885) * CHOOSE(CONTROL!$C$15, $D$11, 100%, $F$11)</f>
        <v>13.8866</v>
      </c>
      <c r="J525" s="4">
        <f>CHOOSE( CONTROL!$C$32, 13.7633, 13.7617) * CHOOSE(CONTROL!$C$15, $D$11, 100%, $F$11)</f>
        <v>13.763299999999999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1.2927</v>
      </c>
      <c r="Q525" s="9">
        <v>19.688099999999999</v>
      </c>
      <c r="R525" s="9"/>
      <c r="S525" s="11"/>
    </row>
    <row r="526" spans="1:19" ht="15.75">
      <c r="A526" s="13">
        <v>57161</v>
      </c>
      <c r="B526" s="8">
        <f>CHOOSE( CONTROL!$C$32, 13.9648, 13.9632) * CHOOSE(CONTROL!$C$15, $D$11, 100%, $F$11)</f>
        <v>13.9648</v>
      </c>
      <c r="C526" s="8">
        <f>CHOOSE( CONTROL!$C$32, 13.9728, 13.9711) * CHOOSE(CONTROL!$C$15, $D$11, 100%, $F$11)</f>
        <v>13.972799999999999</v>
      </c>
      <c r="D526" s="8">
        <f>CHOOSE( CONTROL!$C$32, 13.9698, 13.9681) * CHOOSE( CONTROL!$C$15, $D$11, 100%, $F$11)</f>
        <v>13.969799999999999</v>
      </c>
      <c r="E526" s="12">
        <f>CHOOSE( CONTROL!$C$32, 13.9697, 13.968) * CHOOSE( CONTROL!$C$15, $D$11, 100%, $F$11)</f>
        <v>13.9697</v>
      </c>
      <c r="F526" s="4">
        <f>CHOOSE( CONTROL!$C$32, 14.6718, 14.6701) * CHOOSE(CONTROL!$C$15, $D$11, 100%, $F$11)</f>
        <v>14.671799999999999</v>
      </c>
      <c r="G526" s="8">
        <f>CHOOSE( CONTROL!$C$32, 13.8113, 13.8096) * CHOOSE( CONTROL!$C$15, $D$11, 100%, $F$11)</f>
        <v>13.811299999999999</v>
      </c>
      <c r="H526" s="4">
        <f>CHOOSE( CONTROL!$C$32, 14.7466, 14.7449) * CHOOSE(CONTROL!$C$15, $D$11, 100%, $F$11)</f>
        <v>14.746600000000001</v>
      </c>
      <c r="I526" s="8">
        <f>CHOOSE( CONTROL!$C$32, 13.6661, 13.6644) * CHOOSE(CONTROL!$C$15, $D$11, 100%, $F$11)</f>
        <v>13.6661</v>
      </c>
      <c r="J526" s="4">
        <f>CHOOSE( CONTROL!$C$32, 13.542, 13.5404) * CHOOSE(CONTROL!$C$15, $D$11, 100%, $F$11)</f>
        <v>13.542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1.2509999999999999</v>
      </c>
      <c r="Q526" s="9">
        <v>19.053000000000001</v>
      </c>
      <c r="R526" s="9"/>
      <c r="S526" s="11"/>
    </row>
    <row r="527" spans="1:19" ht="15.75">
      <c r="A527" s="13">
        <v>57192</v>
      </c>
      <c r="B527" s="8">
        <f>CHOOSE( CONTROL!$C$32, 14.5652, 14.5635) * CHOOSE(CONTROL!$C$15, $D$11, 100%, $F$11)</f>
        <v>14.565200000000001</v>
      </c>
      <c r="C527" s="8">
        <f>CHOOSE( CONTROL!$C$32, 14.5731, 14.5715) * CHOOSE(CONTROL!$C$15, $D$11, 100%, $F$11)</f>
        <v>14.5731</v>
      </c>
      <c r="D527" s="8">
        <f>CHOOSE( CONTROL!$C$32, 14.5704, 14.5687) * CHOOSE( CONTROL!$C$15, $D$11, 100%, $F$11)</f>
        <v>14.570399999999999</v>
      </c>
      <c r="E527" s="12">
        <f>CHOOSE( CONTROL!$C$32, 14.5702, 14.5685) * CHOOSE( CONTROL!$C$15, $D$11, 100%, $F$11)</f>
        <v>14.5702</v>
      </c>
      <c r="F527" s="4">
        <f>CHOOSE( CONTROL!$C$32, 15.2721, 15.2705) * CHOOSE(CONTROL!$C$15, $D$11, 100%, $F$11)</f>
        <v>15.2721</v>
      </c>
      <c r="G527" s="8">
        <f>CHOOSE( CONTROL!$C$32, 14.4048, 14.4031) * CHOOSE( CONTROL!$C$15, $D$11, 100%, $F$11)</f>
        <v>14.4048</v>
      </c>
      <c r="H527" s="4">
        <f>CHOOSE( CONTROL!$C$32, 15.3399, 15.3383) * CHOOSE(CONTROL!$C$15, $D$11, 100%, $F$11)</f>
        <v>15.3399</v>
      </c>
      <c r="I527" s="8">
        <f>CHOOSE( CONTROL!$C$32, 14.2498, 14.2482) * CHOOSE(CONTROL!$C$15, $D$11, 100%, $F$11)</f>
        <v>14.2498</v>
      </c>
      <c r="J527" s="4">
        <f>CHOOSE( CONTROL!$C$32, 14.1247, 14.1231) * CHOOSE(CONTROL!$C$15, $D$11, 100%, $F$11)</f>
        <v>14.124700000000001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1.2927</v>
      </c>
      <c r="Q527" s="9">
        <v>19.688099999999999</v>
      </c>
      <c r="R527" s="9"/>
      <c r="S527" s="11"/>
    </row>
    <row r="528" spans="1:19" ht="15.75">
      <c r="A528" s="13">
        <v>57223</v>
      </c>
      <c r="B528" s="8">
        <f>CHOOSE( CONTROL!$C$32, 13.4418, 13.4402) * CHOOSE(CONTROL!$C$15, $D$11, 100%, $F$11)</f>
        <v>13.441800000000001</v>
      </c>
      <c r="C528" s="8">
        <f>CHOOSE( CONTROL!$C$32, 13.4498, 13.4482) * CHOOSE(CONTROL!$C$15, $D$11, 100%, $F$11)</f>
        <v>13.4498</v>
      </c>
      <c r="D528" s="8">
        <f>CHOOSE( CONTROL!$C$32, 13.4471, 13.4455) * CHOOSE( CONTROL!$C$15, $D$11, 100%, $F$11)</f>
        <v>13.447100000000001</v>
      </c>
      <c r="E528" s="12">
        <f>CHOOSE( CONTROL!$C$32, 13.4469, 13.4453) * CHOOSE( CONTROL!$C$15, $D$11, 100%, $F$11)</f>
        <v>13.446899999999999</v>
      </c>
      <c r="F528" s="4">
        <f>CHOOSE( CONTROL!$C$32, 14.1488, 14.1471) * CHOOSE(CONTROL!$C$15, $D$11, 100%, $F$11)</f>
        <v>14.1488</v>
      </c>
      <c r="G528" s="8">
        <f>CHOOSE( CONTROL!$C$32, 13.2947, 13.293) * CHOOSE( CONTROL!$C$15, $D$11, 100%, $F$11)</f>
        <v>13.294700000000001</v>
      </c>
      <c r="H528" s="4">
        <f>CHOOSE( CONTROL!$C$32, 14.2297, 14.2281) * CHOOSE(CONTROL!$C$15, $D$11, 100%, $F$11)</f>
        <v>14.229699999999999</v>
      </c>
      <c r="I528" s="8">
        <f>CHOOSE( CONTROL!$C$32, 13.1594, 13.1578) * CHOOSE(CONTROL!$C$15, $D$11, 100%, $F$11)</f>
        <v>13.1594</v>
      </c>
      <c r="J528" s="4">
        <f>CHOOSE( CONTROL!$C$32, 13.0345, 13.0329) * CHOOSE(CONTROL!$C$15, $D$11, 100%, $F$11)</f>
        <v>13.0345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1.2927</v>
      </c>
      <c r="Q528" s="9">
        <v>19.688099999999999</v>
      </c>
      <c r="R528" s="9"/>
      <c r="S528" s="11"/>
    </row>
    <row r="529" spans="1:19" ht="15.75">
      <c r="A529" s="13">
        <v>57253</v>
      </c>
      <c r="B529" s="8">
        <f>CHOOSE( CONTROL!$C$32, 13.1605, 13.1589) * CHOOSE(CONTROL!$C$15, $D$11, 100%, $F$11)</f>
        <v>13.160500000000001</v>
      </c>
      <c r="C529" s="8">
        <f>CHOOSE( CONTROL!$C$32, 13.1685, 13.1669) * CHOOSE(CONTROL!$C$15, $D$11, 100%, $F$11)</f>
        <v>13.1685</v>
      </c>
      <c r="D529" s="8">
        <f>CHOOSE( CONTROL!$C$32, 13.1658, 13.1641) * CHOOSE( CONTROL!$C$15, $D$11, 100%, $F$11)</f>
        <v>13.165800000000001</v>
      </c>
      <c r="E529" s="12">
        <f>CHOOSE( CONTROL!$C$32, 13.1656, 13.1639) * CHOOSE( CONTROL!$C$15, $D$11, 100%, $F$11)</f>
        <v>13.1656</v>
      </c>
      <c r="F529" s="4">
        <f>CHOOSE( CONTROL!$C$32, 13.8675, 13.8658) * CHOOSE(CONTROL!$C$15, $D$11, 100%, $F$11)</f>
        <v>13.8675</v>
      </c>
      <c r="G529" s="8">
        <f>CHOOSE( CONTROL!$C$32, 13.0166, 13.015) * CHOOSE( CONTROL!$C$15, $D$11, 100%, $F$11)</f>
        <v>13.0166</v>
      </c>
      <c r="H529" s="4">
        <f>CHOOSE( CONTROL!$C$32, 13.9517, 13.9501) * CHOOSE(CONTROL!$C$15, $D$11, 100%, $F$11)</f>
        <v>13.951700000000001</v>
      </c>
      <c r="I529" s="8">
        <f>CHOOSE( CONTROL!$C$32, 12.8861, 12.8845) * CHOOSE(CONTROL!$C$15, $D$11, 100%, $F$11)</f>
        <v>12.886100000000001</v>
      </c>
      <c r="J529" s="4">
        <f>CHOOSE( CONTROL!$C$32, 12.7615, 12.7599) * CHOOSE(CONTROL!$C$15, $D$11, 100%, $F$11)</f>
        <v>12.7615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1.2509999999999999</v>
      </c>
      <c r="Q529" s="9">
        <v>19.053000000000001</v>
      </c>
      <c r="R529" s="9"/>
      <c r="S529" s="11"/>
    </row>
    <row r="530" spans="1:19" ht="15.75">
      <c r="A530" s="13">
        <v>57284</v>
      </c>
      <c r="B530" s="8">
        <f>CHOOSE( CONTROL!$C$32, 13.7423, 13.7412) * CHOOSE(CONTROL!$C$15, $D$11, 100%, $F$11)</f>
        <v>13.7423</v>
      </c>
      <c r="C530" s="8">
        <f>CHOOSE( CONTROL!$C$32, 13.7476, 13.7466) * CHOOSE(CONTROL!$C$15, $D$11, 100%, $F$11)</f>
        <v>13.7476</v>
      </c>
      <c r="D530" s="8">
        <f>CHOOSE( CONTROL!$C$32, 13.7505, 13.7495) * CHOOSE( CONTROL!$C$15, $D$11, 100%, $F$11)</f>
        <v>13.750500000000001</v>
      </c>
      <c r="E530" s="12">
        <f>CHOOSE( CONTROL!$C$32, 13.749, 13.748) * CHOOSE( CONTROL!$C$15, $D$11, 100%, $F$11)</f>
        <v>13.749000000000001</v>
      </c>
      <c r="F530" s="4">
        <f>CHOOSE( CONTROL!$C$32, 14.451, 14.4499) * CHOOSE(CONTROL!$C$15, $D$11, 100%, $F$11)</f>
        <v>14.451000000000001</v>
      </c>
      <c r="G530" s="8">
        <f>CHOOSE( CONTROL!$C$32, 13.5934, 13.5924) * CHOOSE( CONTROL!$C$15, $D$11, 100%, $F$11)</f>
        <v>13.593400000000001</v>
      </c>
      <c r="H530" s="4">
        <f>CHOOSE( CONTROL!$C$32, 14.5284, 14.5273) * CHOOSE(CONTROL!$C$15, $D$11, 100%, $F$11)</f>
        <v>14.5284</v>
      </c>
      <c r="I530" s="8">
        <f>CHOOSE( CONTROL!$C$32, 13.4535, 13.4524) * CHOOSE(CONTROL!$C$15, $D$11, 100%, $F$11)</f>
        <v>13.4535</v>
      </c>
      <c r="J530" s="4">
        <f>CHOOSE( CONTROL!$C$32, 13.3278, 13.3267) * CHOOSE(CONTROL!$C$15, $D$11, 100%, $F$11)</f>
        <v>13.3278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1.2927</v>
      </c>
      <c r="Q530" s="9">
        <v>19.688099999999999</v>
      </c>
      <c r="R530" s="9"/>
      <c r="S530" s="11"/>
    </row>
    <row r="531" spans="1:19" ht="15.75">
      <c r="A531" s="13">
        <v>57314</v>
      </c>
      <c r="B531" s="8">
        <f>CHOOSE( CONTROL!$C$32, 14.82, 14.8189) * CHOOSE(CONTROL!$C$15, $D$11, 100%, $F$11)</f>
        <v>14.82</v>
      </c>
      <c r="C531" s="8">
        <f>CHOOSE( CONTROL!$C$32, 14.8251, 14.824) * CHOOSE(CONTROL!$C$15, $D$11, 100%, $F$11)</f>
        <v>14.825100000000001</v>
      </c>
      <c r="D531" s="8">
        <f>CHOOSE( CONTROL!$C$32, 14.8072, 14.8061) * CHOOSE( CONTROL!$C$15, $D$11, 100%, $F$11)</f>
        <v>14.8072</v>
      </c>
      <c r="E531" s="12">
        <f>CHOOSE( CONTROL!$C$32, 14.8132, 14.8121) * CHOOSE( CONTROL!$C$15, $D$11, 100%, $F$11)</f>
        <v>14.8132</v>
      </c>
      <c r="F531" s="4">
        <f>CHOOSE( CONTROL!$C$32, 15.4853, 15.4842) * CHOOSE(CONTROL!$C$15, $D$11, 100%, $F$11)</f>
        <v>15.485300000000001</v>
      </c>
      <c r="G531" s="8">
        <f>CHOOSE( CONTROL!$C$32, 14.658, 14.6569) * CHOOSE( CONTROL!$C$15, $D$11, 100%, $F$11)</f>
        <v>14.657999999999999</v>
      </c>
      <c r="H531" s="4">
        <f>CHOOSE( CONTROL!$C$32, 15.5506, 15.5495) * CHOOSE(CONTROL!$C$15, $D$11, 100%, $F$11)</f>
        <v>15.550599999999999</v>
      </c>
      <c r="I531" s="8">
        <f>CHOOSE( CONTROL!$C$32, 14.562, 14.561) * CHOOSE(CONTROL!$C$15, $D$11, 100%, $F$11)</f>
        <v>14.561999999999999</v>
      </c>
      <c r="J531" s="4">
        <f>CHOOSE( CONTROL!$C$32, 14.374, 14.373) * CHOOSE(CONTROL!$C$15, $D$11, 100%, $F$11)</f>
        <v>14.374000000000001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57345</v>
      </c>
      <c r="B532" s="8">
        <f>CHOOSE( CONTROL!$C$32, 14.793, 14.792) * CHOOSE(CONTROL!$C$15, $D$11, 100%, $F$11)</f>
        <v>14.792999999999999</v>
      </c>
      <c r="C532" s="8">
        <f>CHOOSE( CONTROL!$C$32, 14.7981, 14.797) * CHOOSE(CONTROL!$C$15, $D$11, 100%, $F$11)</f>
        <v>14.7981</v>
      </c>
      <c r="D532" s="8">
        <f>CHOOSE( CONTROL!$C$32, 14.7817, 14.7806) * CHOOSE( CONTROL!$C$15, $D$11, 100%, $F$11)</f>
        <v>14.781700000000001</v>
      </c>
      <c r="E532" s="12">
        <f>CHOOSE( CONTROL!$C$32, 14.7872, 14.7861) * CHOOSE( CONTROL!$C$15, $D$11, 100%, $F$11)</f>
        <v>14.7872</v>
      </c>
      <c r="F532" s="4">
        <f>CHOOSE( CONTROL!$C$32, 15.4583, 15.4572) * CHOOSE(CONTROL!$C$15, $D$11, 100%, $F$11)</f>
        <v>15.458299999999999</v>
      </c>
      <c r="G532" s="8">
        <f>CHOOSE( CONTROL!$C$32, 14.6324, 14.6313) * CHOOSE( CONTROL!$C$15, $D$11, 100%, $F$11)</f>
        <v>14.632400000000001</v>
      </c>
      <c r="H532" s="4">
        <f>CHOOSE( CONTROL!$C$32, 15.5239, 15.5229) * CHOOSE(CONTROL!$C$15, $D$11, 100%, $F$11)</f>
        <v>15.523899999999999</v>
      </c>
      <c r="I532" s="8">
        <f>CHOOSE( CONTROL!$C$32, 14.5404, 14.5393) * CHOOSE(CONTROL!$C$15, $D$11, 100%, $F$11)</f>
        <v>14.5404</v>
      </c>
      <c r="J532" s="4">
        <f>CHOOSE( CONTROL!$C$32, 14.3479, 14.3468) * CHOOSE(CONTROL!$C$15, $D$11, 100%, $F$11)</f>
        <v>14.347899999999999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57376</v>
      </c>
      <c r="B533" s="8">
        <f>CHOOSE( CONTROL!$C$32, 15.2291, 15.228) * CHOOSE(CONTROL!$C$15, $D$11, 100%, $F$11)</f>
        <v>15.229100000000001</v>
      </c>
      <c r="C533" s="8">
        <f>CHOOSE( CONTROL!$C$32, 15.2342, 15.2331) * CHOOSE(CONTROL!$C$15, $D$11, 100%, $F$11)</f>
        <v>15.2342</v>
      </c>
      <c r="D533" s="8">
        <f>CHOOSE( CONTROL!$C$32, 15.2129, 15.2118) * CHOOSE( CONTROL!$C$15, $D$11, 100%, $F$11)</f>
        <v>15.212899999999999</v>
      </c>
      <c r="E533" s="12">
        <f>CHOOSE( CONTROL!$C$32, 15.2201, 15.219) * CHOOSE( CONTROL!$C$15, $D$11, 100%, $F$11)</f>
        <v>15.2201</v>
      </c>
      <c r="F533" s="4">
        <f>CHOOSE( CONTROL!$C$32, 15.8944, 15.8933) * CHOOSE(CONTROL!$C$15, $D$11, 100%, $F$11)</f>
        <v>15.894399999999999</v>
      </c>
      <c r="G533" s="8">
        <f>CHOOSE( CONTROL!$C$32, 15.0529, 15.0518) * CHOOSE( CONTROL!$C$15, $D$11, 100%, $F$11)</f>
        <v>15.052899999999999</v>
      </c>
      <c r="H533" s="4">
        <f>CHOOSE( CONTROL!$C$32, 15.9549, 15.9538) * CHOOSE(CONTROL!$C$15, $D$11, 100%, $F$11)</f>
        <v>15.9549</v>
      </c>
      <c r="I533" s="8">
        <f>CHOOSE( CONTROL!$C$32, 14.9258, 14.9247) * CHOOSE(CONTROL!$C$15, $D$11, 100%, $F$11)</f>
        <v>14.925800000000001</v>
      </c>
      <c r="J533" s="4">
        <f>CHOOSE( CONTROL!$C$32, 14.7711, 14.77) * CHOOSE(CONTROL!$C$15, $D$11, 100%, $F$11)</f>
        <v>14.771100000000001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57404</v>
      </c>
      <c r="B534" s="8">
        <f>CHOOSE( CONTROL!$C$32, 14.2452, 14.2441) * CHOOSE(CONTROL!$C$15, $D$11, 100%, $F$11)</f>
        <v>14.245200000000001</v>
      </c>
      <c r="C534" s="8">
        <f>CHOOSE( CONTROL!$C$32, 14.2503, 14.2492) * CHOOSE(CONTROL!$C$15, $D$11, 100%, $F$11)</f>
        <v>14.250299999999999</v>
      </c>
      <c r="D534" s="8">
        <f>CHOOSE( CONTROL!$C$32, 14.2289, 14.2278) * CHOOSE( CONTROL!$C$15, $D$11, 100%, $F$11)</f>
        <v>14.228899999999999</v>
      </c>
      <c r="E534" s="12">
        <f>CHOOSE( CONTROL!$C$32, 14.2362, 14.2351) * CHOOSE( CONTROL!$C$15, $D$11, 100%, $F$11)</f>
        <v>14.2362</v>
      </c>
      <c r="F534" s="4">
        <f>CHOOSE( CONTROL!$C$32, 14.9105, 14.9094) * CHOOSE(CONTROL!$C$15, $D$11, 100%, $F$11)</f>
        <v>14.910500000000001</v>
      </c>
      <c r="G534" s="8">
        <f>CHOOSE( CONTROL!$C$32, 14.0804, 14.0793) * CHOOSE( CONTROL!$C$15, $D$11, 100%, $F$11)</f>
        <v>14.080399999999999</v>
      </c>
      <c r="H534" s="4">
        <f>CHOOSE( CONTROL!$C$32, 14.9825, 14.9814) * CHOOSE(CONTROL!$C$15, $D$11, 100%, $F$11)</f>
        <v>14.9825</v>
      </c>
      <c r="I534" s="8">
        <f>CHOOSE( CONTROL!$C$32, 13.9701, 13.969) * CHOOSE(CONTROL!$C$15, $D$11, 100%, $F$11)</f>
        <v>13.9701</v>
      </c>
      <c r="J534" s="4">
        <f>CHOOSE( CONTROL!$C$32, 13.8162, 13.8152) * CHOOSE(CONTROL!$C$15, $D$11, 100%, $F$11)</f>
        <v>13.8162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57435</v>
      </c>
      <c r="B535" s="8">
        <f>CHOOSE( CONTROL!$C$32, 13.9422, 13.9411) * CHOOSE(CONTROL!$C$15, $D$11, 100%, $F$11)</f>
        <v>13.9422</v>
      </c>
      <c r="C535" s="8">
        <f>CHOOSE( CONTROL!$C$32, 13.9473, 13.9462) * CHOOSE(CONTROL!$C$15, $D$11, 100%, $F$11)</f>
        <v>13.9473</v>
      </c>
      <c r="D535" s="8">
        <f>CHOOSE( CONTROL!$C$32, 13.9252, 13.9241) * CHOOSE( CONTROL!$C$15, $D$11, 100%, $F$11)</f>
        <v>13.9252</v>
      </c>
      <c r="E535" s="12">
        <f>CHOOSE( CONTROL!$C$32, 13.9327, 13.9316) * CHOOSE( CONTROL!$C$15, $D$11, 100%, $F$11)</f>
        <v>13.932700000000001</v>
      </c>
      <c r="F535" s="4">
        <f>CHOOSE( CONTROL!$C$32, 14.6075, 14.6064) * CHOOSE(CONTROL!$C$15, $D$11, 100%, $F$11)</f>
        <v>14.6075</v>
      </c>
      <c r="G535" s="8">
        <f>CHOOSE( CONTROL!$C$32, 13.7805, 13.7794) * CHOOSE( CONTROL!$C$15, $D$11, 100%, $F$11)</f>
        <v>13.7805</v>
      </c>
      <c r="H535" s="4">
        <f>CHOOSE( CONTROL!$C$32, 14.683, 14.682) * CHOOSE(CONTROL!$C$15, $D$11, 100%, $F$11)</f>
        <v>14.683</v>
      </c>
      <c r="I535" s="8">
        <f>CHOOSE( CONTROL!$C$32, 13.6738, 13.6728) * CHOOSE(CONTROL!$C$15, $D$11, 100%, $F$11)</f>
        <v>13.6738</v>
      </c>
      <c r="J535" s="4">
        <f>CHOOSE( CONTROL!$C$32, 13.5221, 13.5211) * CHOOSE(CONTROL!$C$15, $D$11, 100%, $F$11)</f>
        <v>13.5221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57465</v>
      </c>
      <c r="B536" s="8">
        <f>CHOOSE( CONTROL!$C$32, 14.1547, 14.1536) * CHOOSE(CONTROL!$C$15, $D$11, 100%, $F$11)</f>
        <v>14.1547</v>
      </c>
      <c r="C536" s="8">
        <f>CHOOSE( CONTROL!$C$32, 14.1592, 14.1581) * CHOOSE(CONTROL!$C$15, $D$11, 100%, $F$11)</f>
        <v>14.1592</v>
      </c>
      <c r="D536" s="8">
        <f>CHOOSE( CONTROL!$C$32, 14.162, 14.161) * CHOOSE( CONTROL!$C$15, $D$11, 100%, $F$11)</f>
        <v>14.162000000000001</v>
      </c>
      <c r="E536" s="12">
        <f>CHOOSE( CONTROL!$C$32, 14.1606, 14.1595) * CHOOSE( CONTROL!$C$15, $D$11, 100%, $F$11)</f>
        <v>14.160600000000001</v>
      </c>
      <c r="F536" s="4">
        <f>CHOOSE( CONTROL!$C$32, 14.863, 14.8619) * CHOOSE(CONTROL!$C$15, $D$11, 100%, $F$11)</f>
        <v>14.863</v>
      </c>
      <c r="G536" s="8">
        <f>CHOOSE( CONTROL!$C$32, 14.0002, 13.9991) * CHOOSE( CONTROL!$C$15, $D$11, 100%, $F$11)</f>
        <v>14.0002</v>
      </c>
      <c r="H536" s="4">
        <f>CHOOSE( CONTROL!$C$32, 14.9356, 14.9345) * CHOOSE(CONTROL!$C$15, $D$11, 100%, $F$11)</f>
        <v>14.935600000000001</v>
      </c>
      <c r="I536" s="8">
        <f>CHOOSE( CONTROL!$C$32, 13.8517, 13.8506) * CHOOSE(CONTROL!$C$15, $D$11, 100%, $F$11)</f>
        <v>13.851699999999999</v>
      </c>
      <c r="J536" s="4">
        <f>CHOOSE( CONTROL!$C$32, 13.7276, 13.7266) * CHOOSE(CONTROL!$C$15, $D$11, 100%, $F$11)</f>
        <v>13.727600000000001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1.2509999999999999</v>
      </c>
      <c r="Q536" s="9">
        <v>19.053000000000001</v>
      </c>
      <c r="R536" s="9"/>
      <c r="S536" s="11"/>
    </row>
    <row r="537" spans="1:19" ht="15.75">
      <c r="A537" s="13">
        <v>57496</v>
      </c>
      <c r="B537" s="8">
        <f>CHOOSE( CONTROL!$C$32, 14.5335, 14.5318) * CHOOSE(CONTROL!$C$15, $D$11, 100%, $F$11)</f>
        <v>14.5335</v>
      </c>
      <c r="C537" s="8">
        <f>CHOOSE( CONTROL!$C$32, 14.5415, 14.5398) * CHOOSE(CONTROL!$C$15, $D$11, 100%, $F$11)</f>
        <v>14.541499999999999</v>
      </c>
      <c r="D537" s="8">
        <f>CHOOSE( CONTROL!$C$32, 14.5382, 14.5366) * CHOOSE( CONTROL!$C$15, $D$11, 100%, $F$11)</f>
        <v>14.5382</v>
      </c>
      <c r="E537" s="12">
        <f>CHOOSE( CONTROL!$C$32, 14.5382, 14.5365) * CHOOSE( CONTROL!$C$15, $D$11, 100%, $F$11)</f>
        <v>14.5382</v>
      </c>
      <c r="F537" s="4">
        <f>CHOOSE( CONTROL!$C$32, 15.2404, 15.2388) * CHOOSE(CONTROL!$C$15, $D$11, 100%, $F$11)</f>
        <v>15.240399999999999</v>
      </c>
      <c r="G537" s="8">
        <f>CHOOSE( CONTROL!$C$32, 14.3731, 14.3715) * CHOOSE( CONTROL!$C$15, $D$11, 100%, $F$11)</f>
        <v>14.373100000000001</v>
      </c>
      <c r="H537" s="4">
        <f>CHOOSE( CONTROL!$C$32, 15.3086, 15.307) * CHOOSE(CONTROL!$C$15, $D$11, 100%, $F$11)</f>
        <v>15.3086</v>
      </c>
      <c r="I537" s="8">
        <f>CHOOSE( CONTROL!$C$32, 14.2175, 14.2159) * CHOOSE(CONTROL!$C$15, $D$11, 100%, $F$11)</f>
        <v>14.217499999999999</v>
      </c>
      <c r="J537" s="4">
        <f>CHOOSE( CONTROL!$C$32, 14.0939, 14.0923) * CHOOSE(CONTROL!$C$15, $D$11, 100%, $F$11)</f>
        <v>14.0939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1.2927</v>
      </c>
      <c r="Q537" s="9">
        <v>19.688099999999999</v>
      </c>
      <c r="R537" s="9"/>
      <c r="S537" s="11"/>
    </row>
    <row r="538" spans="1:19" ht="15.75">
      <c r="A538" s="13">
        <v>57526</v>
      </c>
      <c r="B538" s="8">
        <f>CHOOSE( CONTROL!$C$32, 14.3, 14.2984) * CHOOSE(CONTROL!$C$15, $D$11, 100%, $F$11)</f>
        <v>14.3</v>
      </c>
      <c r="C538" s="8">
        <f>CHOOSE( CONTROL!$C$32, 14.308, 14.3064) * CHOOSE(CONTROL!$C$15, $D$11, 100%, $F$11)</f>
        <v>14.308</v>
      </c>
      <c r="D538" s="8">
        <f>CHOOSE( CONTROL!$C$32, 14.305, 14.3033) * CHOOSE( CONTROL!$C$15, $D$11, 100%, $F$11)</f>
        <v>14.305</v>
      </c>
      <c r="E538" s="12">
        <f>CHOOSE( CONTROL!$C$32, 14.3049, 14.3032) * CHOOSE( CONTROL!$C$15, $D$11, 100%, $F$11)</f>
        <v>14.3049</v>
      </c>
      <c r="F538" s="4">
        <f>CHOOSE( CONTROL!$C$32, 15.007, 15.0053) * CHOOSE(CONTROL!$C$15, $D$11, 100%, $F$11)</f>
        <v>15.007</v>
      </c>
      <c r="G538" s="8">
        <f>CHOOSE( CONTROL!$C$32, 14.1426, 14.1409) * CHOOSE( CONTROL!$C$15, $D$11, 100%, $F$11)</f>
        <v>14.1426</v>
      </c>
      <c r="H538" s="4">
        <f>CHOOSE( CONTROL!$C$32, 15.0779, 15.0762) * CHOOSE(CONTROL!$C$15, $D$11, 100%, $F$11)</f>
        <v>15.0779</v>
      </c>
      <c r="I538" s="8">
        <f>CHOOSE( CONTROL!$C$32, 13.9916, 13.99) * CHOOSE(CONTROL!$C$15, $D$11, 100%, $F$11)</f>
        <v>13.9916</v>
      </c>
      <c r="J538" s="4">
        <f>CHOOSE( CONTROL!$C$32, 13.8674, 13.8658) * CHOOSE(CONTROL!$C$15, $D$11, 100%, $F$11)</f>
        <v>13.8674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1.2509999999999999</v>
      </c>
      <c r="Q538" s="9">
        <v>19.053000000000001</v>
      </c>
      <c r="R538" s="9"/>
      <c r="S538" s="11"/>
    </row>
    <row r="539" spans="1:19" ht="15.75">
      <c r="A539" s="13">
        <v>57557</v>
      </c>
      <c r="B539" s="8">
        <f>CHOOSE( CONTROL!$C$32, 14.9148, 14.9132) * CHOOSE(CONTROL!$C$15, $D$11, 100%, $F$11)</f>
        <v>14.9148</v>
      </c>
      <c r="C539" s="8">
        <f>CHOOSE( CONTROL!$C$32, 14.9228, 14.9211) * CHOOSE(CONTROL!$C$15, $D$11, 100%, $F$11)</f>
        <v>14.922800000000001</v>
      </c>
      <c r="D539" s="8">
        <f>CHOOSE( CONTROL!$C$32, 14.92, 14.9184) * CHOOSE( CONTROL!$C$15, $D$11, 100%, $F$11)</f>
        <v>14.92</v>
      </c>
      <c r="E539" s="12">
        <f>CHOOSE( CONTROL!$C$32, 14.9198, 14.9182) * CHOOSE( CONTROL!$C$15, $D$11, 100%, $F$11)</f>
        <v>14.9198</v>
      </c>
      <c r="F539" s="4">
        <f>CHOOSE( CONTROL!$C$32, 15.6218, 15.6201) * CHOOSE(CONTROL!$C$15, $D$11, 100%, $F$11)</f>
        <v>15.6218</v>
      </c>
      <c r="G539" s="8">
        <f>CHOOSE( CONTROL!$C$32, 14.7503, 14.7487) * CHOOSE( CONTROL!$C$15, $D$11, 100%, $F$11)</f>
        <v>14.750299999999999</v>
      </c>
      <c r="H539" s="4">
        <f>CHOOSE( CONTROL!$C$32, 15.6855, 15.6838) * CHOOSE(CONTROL!$C$15, $D$11, 100%, $F$11)</f>
        <v>15.685499999999999</v>
      </c>
      <c r="I539" s="8">
        <f>CHOOSE( CONTROL!$C$32, 14.5893, 14.5877) * CHOOSE(CONTROL!$C$15, $D$11, 100%, $F$11)</f>
        <v>14.5893</v>
      </c>
      <c r="J539" s="4">
        <f>CHOOSE( CONTROL!$C$32, 14.464, 14.4624) * CHOOSE(CONTROL!$C$15, $D$11, 100%, $F$11)</f>
        <v>14.464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1.2927</v>
      </c>
      <c r="Q539" s="9">
        <v>19.688099999999999</v>
      </c>
      <c r="R539" s="9"/>
      <c r="S539" s="11"/>
    </row>
    <row r="540" spans="1:19" ht="15.75">
      <c r="A540" s="13">
        <v>57588</v>
      </c>
      <c r="B540" s="8">
        <f>CHOOSE( CONTROL!$C$32, 13.7645, 13.7628) * CHOOSE(CONTROL!$C$15, $D$11, 100%, $F$11)</f>
        <v>13.7645</v>
      </c>
      <c r="C540" s="8">
        <f>CHOOSE( CONTROL!$C$32, 13.7725, 13.7708) * CHOOSE(CONTROL!$C$15, $D$11, 100%, $F$11)</f>
        <v>13.772500000000001</v>
      </c>
      <c r="D540" s="8">
        <f>CHOOSE( CONTROL!$C$32, 13.7698, 13.7681) * CHOOSE( CONTROL!$C$15, $D$11, 100%, $F$11)</f>
        <v>13.7698</v>
      </c>
      <c r="E540" s="12">
        <f>CHOOSE( CONTROL!$C$32, 13.7696, 13.7679) * CHOOSE( CONTROL!$C$15, $D$11, 100%, $F$11)</f>
        <v>13.769600000000001</v>
      </c>
      <c r="F540" s="4">
        <f>CHOOSE( CONTROL!$C$32, 14.4714, 14.4698) * CHOOSE(CONTROL!$C$15, $D$11, 100%, $F$11)</f>
        <v>14.471399999999999</v>
      </c>
      <c r="G540" s="8">
        <f>CHOOSE( CONTROL!$C$32, 13.6136, 13.6119) * CHOOSE( CONTROL!$C$15, $D$11, 100%, $F$11)</f>
        <v>13.6136</v>
      </c>
      <c r="H540" s="4">
        <f>CHOOSE( CONTROL!$C$32, 14.5486, 14.547) * CHOOSE(CONTROL!$C$15, $D$11, 100%, $F$11)</f>
        <v>14.5486</v>
      </c>
      <c r="I540" s="8">
        <f>CHOOSE( CONTROL!$C$32, 13.4727, 13.4711) * CHOOSE(CONTROL!$C$15, $D$11, 100%, $F$11)</f>
        <v>13.4727</v>
      </c>
      <c r="J540" s="4">
        <f>CHOOSE( CONTROL!$C$32, 13.3476, 13.346) * CHOOSE(CONTROL!$C$15, $D$11, 100%, $F$11)</f>
        <v>13.3476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1.2927</v>
      </c>
      <c r="Q540" s="9">
        <v>19.688099999999999</v>
      </c>
      <c r="R540" s="9"/>
      <c r="S540" s="11"/>
    </row>
    <row r="541" spans="1:19" ht="15.75">
      <c r="A541" s="13">
        <v>57618</v>
      </c>
      <c r="B541" s="8">
        <f>CHOOSE( CONTROL!$C$32, 13.4764, 13.4748) * CHOOSE(CONTROL!$C$15, $D$11, 100%, $F$11)</f>
        <v>13.4764</v>
      </c>
      <c r="C541" s="8">
        <f>CHOOSE( CONTROL!$C$32, 13.4844, 13.4828) * CHOOSE(CONTROL!$C$15, $D$11, 100%, $F$11)</f>
        <v>13.484400000000001</v>
      </c>
      <c r="D541" s="8">
        <f>CHOOSE( CONTROL!$C$32, 13.4817, 13.48) * CHOOSE( CONTROL!$C$15, $D$11, 100%, $F$11)</f>
        <v>13.4817</v>
      </c>
      <c r="E541" s="12">
        <f>CHOOSE( CONTROL!$C$32, 13.4815, 13.4798) * CHOOSE( CONTROL!$C$15, $D$11, 100%, $F$11)</f>
        <v>13.4815</v>
      </c>
      <c r="F541" s="4">
        <f>CHOOSE( CONTROL!$C$32, 14.1834, 14.1817) * CHOOSE(CONTROL!$C$15, $D$11, 100%, $F$11)</f>
        <v>14.183400000000001</v>
      </c>
      <c r="G541" s="8">
        <f>CHOOSE( CONTROL!$C$32, 13.3288, 13.3272) * CHOOSE( CONTROL!$C$15, $D$11, 100%, $F$11)</f>
        <v>13.328799999999999</v>
      </c>
      <c r="H541" s="4">
        <f>CHOOSE( CONTROL!$C$32, 14.2639, 14.2623) * CHOOSE(CONTROL!$C$15, $D$11, 100%, $F$11)</f>
        <v>14.2639</v>
      </c>
      <c r="I541" s="8">
        <f>CHOOSE( CONTROL!$C$32, 13.1929, 13.1913) * CHOOSE(CONTROL!$C$15, $D$11, 100%, $F$11)</f>
        <v>13.1929</v>
      </c>
      <c r="J541" s="4">
        <f>CHOOSE( CONTROL!$C$32, 13.0681, 13.0665) * CHOOSE(CONTROL!$C$15, $D$11, 100%, $F$11)</f>
        <v>13.068099999999999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1.2509999999999999</v>
      </c>
      <c r="Q541" s="9">
        <v>19.053000000000001</v>
      </c>
      <c r="R541" s="9"/>
      <c r="S541" s="11"/>
    </row>
    <row r="542" spans="1:19" ht="15.75">
      <c r="A542" s="13">
        <v>57649</v>
      </c>
      <c r="B542" s="8">
        <f>CHOOSE( CONTROL!$C$32, 14.0723, 14.0712) * CHOOSE(CONTROL!$C$15, $D$11, 100%, $F$11)</f>
        <v>14.0723</v>
      </c>
      <c r="C542" s="8">
        <f>CHOOSE( CONTROL!$C$32, 14.0776, 14.0765) * CHOOSE(CONTROL!$C$15, $D$11, 100%, $F$11)</f>
        <v>14.0776</v>
      </c>
      <c r="D542" s="8">
        <f>CHOOSE( CONTROL!$C$32, 14.0805, 14.0794) * CHOOSE( CONTROL!$C$15, $D$11, 100%, $F$11)</f>
        <v>14.080500000000001</v>
      </c>
      <c r="E542" s="12">
        <f>CHOOSE( CONTROL!$C$32, 14.079, 14.0779) * CHOOSE( CONTROL!$C$15, $D$11, 100%, $F$11)</f>
        <v>14.079000000000001</v>
      </c>
      <c r="F542" s="4">
        <f>CHOOSE( CONTROL!$C$32, 14.7809, 14.7798) * CHOOSE(CONTROL!$C$15, $D$11, 100%, $F$11)</f>
        <v>14.780900000000001</v>
      </c>
      <c r="G542" s="8">
        <f>CHOOSE( CONTROL!$C$32, 13.9195, 13.9185) * CHOOSE( CONTROL!$C$15, $D$11, 100%, $F$11)</f>
        <v>13.919499999999999</v>
      </c>
      <c r="H542" s="4">
        <f>CHOOSE( CONTROL!$C$32, 14.8545, 14.8534) * CHOOSE(CONTROL!$C$15, $D$11, 100%, $F$11)</f>
        <v>14.8545</v>
      </c>
      <c r="I542" s="8">
        <f>CHOOSE( CONTROL!$C$32, 13.7739, 13.7728) * CHOOSE(CONTROL!$C$15, $D$11, 100%, $F$11)</f>
        <v>13.773899999999999</v>
      </c>
      <c r="J542" s="4">
        <f>CHOOSE( CONTROL!$C$32, 13.648, 13.6469) * CHOOSE(CONTROL!$C$15, $D$11, 100%, $F$11)</f>
        <v>13.648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1.2927</v>
      </c>
      <c r="Q542" s="9">
        <v>19.688099999999999</v>
      </c>
      <c r="R542" s="9"/>
      <c r="S542" s="11"/>
    </row>
    <row r="543" spans="1:19" ht="15.75">
      <c r="A543" s="13">
        <v>57679</v>
      </c>
      <c r="B543" s="8">
        <f>CHOOSE( CONTROL!$C$32, 15.1758, 15.1747) * CHOOSE(CONTROL!$C$15, $D$11, 100%, $F$11)</f>
        <v>15.175800000000001</v>
      </c>
      <c r="C543" s="8">
        <f>CHOOSE( CONTROL!$C$32, 15.1809, 15.1798) * CHOOSE(CONTROL!$C$15, $D$11, 100%, $F$11)</f>
        <v>15.180899999999999</v>
      </c>
      <c r="D543" s="8">
        <f>CHOOSE( CONTROL!$C$32, 15.1631, 15.162) * CHOOSE( CONTROL!$C$15, $D$11, 100%, $F$11)</f>
        <v>15.1631</v>
      </c>
      <c r="E543" s="12">
        <f>CHOOSE( CONTROL!$C$32, 15.1691, 15.168) * CHOOSE( CONTROL!$C$15, $D$11, 100%, $F$11)</f>
        <v>15.1691</v>
      </c>
      <c r="F543" s="4">
        <f>CHOOSE( CONTROL!$C$32, 15.8411, 15.84) * CHOOSE(CONTROL!$C$15, $D$11, 100%, $F$11)</f>
        <v>15.841100000000001</v>
      </c>
      <c r="G543" s="8">
        <f>CHOOSE( CONTROL!$C$32, 15.0097, 15.0086) * CHOOSE( CONTROL!$C$15, $D$11, 100%, $F$11)</f>
        <v>15.0097</v>
      </c>
      <c r="H543" s="4">
        <f>CHOOSE( CONTROL!$C$32, 15.9022, 15.9012) * CHOOSE(CONTROL!$C$15, $D$11, 100%, $F$11)</f>
        <v>15.902200000000001</v>
      </c>
      <c r="I543" s="8">
        <f>CHOOSE( CONTROL!$C$32, 14.9076, 14.9065) * CHOOSE(CONTROL!$C$15, $D$11, 100%, $F$11)</f>
        <v>14.9076</v>
      </c>
      <c r="J543" s="4">
        <f>CHOOSE( CONTROL!$C$32, 14.7194, 14.7183) * CHOOSE(CONTROL!$C$15, $D$11, 100%, $F$11)</f>
        <v>14.7194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57710</v>
      </c>
      <c r="B544" s="8">
        <f>CHOOSE( CONTROL!$C$32, 15.1482, 15.1472) * CHOOSE(CONTROL!$C$15, $D$11, 100%, $F$11)</f>
        <v>15.148199999999999</v>
      </c>
      <c r="C544" s="8">
        <f>CHOOSE( CONTROL!$C$32, 15.1533, 15.1522) * CHOOSE(CONTROL!$C$15, $D$11, 100%, $F$11)</f>
        <v>15.1533</v>
      </c>
      <c r="D544" s="8">
        <f>CHOOSE( CONTROL!$C$32, 15.1369, 15.1358) * CHOOSE( CONTROL!$C$15, $D$11, 100%, $F$11)</f>
        <v>15.136900000000001</v>
      </c>
      <c r="E544" s="12">
        <f>CHOOSE( CONTROL!$C$32, 15.1424, 15.1413) * CHOOSE( CONTROL!$C$15, $D$11, 100%, $F$11)</f>
        <v>15.1424</v>
      </c>
      <c r="F544" s="4">
        <f>CHOOSE( CONTROL!$C$32, 15.8135, 15.8124) * CHOOSE(CONTROL!$C$15, $D$11, 100%, $F$11)</f>
        <v>15.813499999999999</v>
      </c>
      <c r="G544" s="8">
        <f>CHOOSE( CONTROL!$C$32, 14.9834, 14.9824) * CHOOSE( CONTROL!$C$15, $D$11, 100%, $F$11)</f>
        <v>14.9834</v>
      </c>
      <c r="H544" s="4">
        <f>CHOOSE( CONTROL!$C$32, 15.875, 15.8739) * CHOOSE(CONTROL!$C$15, $D$11, 100%, $F$11)</f>
        <v>15.875</v>
      </c>
      <c r="I544" s="8">
        <f>CHOOSE( CONTROL!$C$32, 14.8852, 14.8842) * CHOOSE(CONTROL!$C$15, $D$11, 100%, $F$11)</f>
        <v>14.885199999999999</v>
      </c>
      <c r="J544" s="4">
        <f>CHOOSE( CONTROL!$C$32, 14.6926, 14.6916) * CHOOSE(CONTROL!$C$15, $D$11, 100%, $F$11)</f>
        <v>14.692600000000001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57741</v>
      </c>
      <c r="B545" s="8">
        <f>CHOOSE( CONTROL!$C$32, 15.5948, 15.5937) * CHOOSE(CONTROL!$C$15, $D$11, 100%, $F$11)</f>
        <v>15.594799999999999</v>
      </c>
      <c r="C545" s="8">
        <f>CHOOSE( CONTROL!$C$32, 15.5998, 15.5988) * CHOOSE(CONTROL!$C$15, $D$11, 100%, $F$11)</f>
        <v>15.5998</v>
      </c>
      <c r="D545" s="8">
        <f>CHOOSE( CONTROL!$C$32, 15.5786, 15.5775) * CHOOSE( CONTROL!$C$15, $D$11, 100%, $F$11)</f>
        <v>15.5786</v>
      </c>
      <c r="E545" s="12">
        <f>CHOOSE( CONTROL!$C$32, 15.5858, 15.5847) * CHOOSE( CONTROL!$C$15, $D$11, 100%, $F$11)</f>
        <v>15.585800000000001</v>
      </c>
      <c r="F545" s="4">
        <f>CHOOSE( CONTROL!$C$32, 16.26, 16.259) * CHOOSE(CONTROL!$C$15, $D$11, 100%, $F$11)</f>
        <v>16.260000000000002</v>
      </c>
      <c r="G545" s="8">
        <f>CHOOSE( CONTROL!$C$32, 15.4143, 15.4132) * CHOOSE( CONTROL!$C$15, $D$11, 100%, $F$11)</f>
        <v>15.414300000000001</v>
      </c>
      <c r="H545" s="4">
        <f>CHOOSE( CONTROL!$C$32, 16.3163, 16.3152) * CHOOSE(CONTROL!$C$15, $D$11, 100%, $F$11)</f>
        <v>16.316299999999998</v>
      </c>
      <c r="I545" s="8">
        <f>CHOOSE( CONTROL!$C$32, 15.2809, 15.2798) * CHOOSE(CONTROL!$C$15, $D$11, 100%, $F$11)</f>
        <v>15.280900000000001</v>
      </c>
      <c r="J545" s="4">
        <f>CHOOSE( CONTROL!$C$32, 15.126, 15.1249) * CHOOSE(CONTROL!$C$15, $D$11, 100%, $F$11)</f>
        <v>15.125999999999999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57769</v>
      </c>
      <c r="B546" s="8">
        <f>CHOOSE( CONTROL!$C$32, 14.5872, 14.5862) * CHOOSE(CONTROL!$C$15, $D$11, 100%, $F$11)</f>
        <v>14.587199999999999</v>
      </c>
      <c r="C546" s="8">
        <f>CHOOSE( CONTROL!$C$32, 14.5923, 14.5912) * CHOOSE(CONTROL!$C$15, $D$11, 100%, $F$11)</f>
        <v>14.5923</v>
      </c>
      <c r="D546" s="8">
        <f>CHOOSE( CONTROL!$C$32, 14.5709, 14.5698) * CHOOSE( CONTROL!$C$15, $D$11, 100%, $F$11)</f>
        <v>14.5709</v>
      </c>
      <c r="E546" s="12">
        <f>CHOOSE( CONTROL!$C$32, 14.5782, 14.5771) * CHOOSE( CONTROL!$C$15, $D$11, 100%, $F$11)</f>
        <v>14.578200000000001</v>
      </c>
      <c r="F546" s="4">
        <f>CHOOSE( CONTROL!$C$32, 15.2525, 15.2514) * CHOOSE(CONTROL!$C$15, $D$11, 100%, $F$11)</f>
        <v>15.2525</v>
      </c>
      <c r="G546" s="8">
        <f>CHOOSE( CONTROL!$C$32, 14.4184, 14.4174) * CHOOSE( CONTROL!$C$15, $D$11, 100%, $F$11)</f>
        <v>14.4184</v>
      </c>
      <c r="H546" s="4">
        <f>CHOOSE( CONTROL!$C$32, 15.3205, 15.3195) * CHOOSE(CONTROL!$C$15, $D$11, 100%, $F$11)</f>
        <v>15.320499999999999</v>
      </c>
      <c r="I546" s="8">
        <f>CHOOSE( CONTROL!$C$32, 14.3022, 14.3011) * CHOOSE(CONTROL!$C$15, $D$11, 100%, $F$11)</f>
        <v>14.302199999999999</v>
      </c>
      <c r="J546" s="4">
        <f>CHOOSE( CONTROL!$C$32, 14.1482, 14.1471) * CHOOSE(CONTROL!$C$15, $D$11, 100%, $F$11)</f>
        <v>14.148199999999999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57800</v>
      </c>
      <c r="B547" s="8">
        <f>CHOOSE( CONTROL!$C$32, 14.2769, 14.2758) * CHOOSE(CONTROL!$C$15, $D$11, 100%, $F$11)</f>
        <v>14.276899999999999</v>
      </c>
      <c r="C547" s="8">
        <f>CHOOSE( CONTROL!$C$32, 14.282, 14.2809) * CHOOSE(CONTROL!$C$15, $D$11, 100%, $F$11)</f>
        <v>14.282</v>
      </c>
      <c r="D547" s="8">
        <f>CHOOSE( CONTROL!$C$32, 14.2599, 14.2589) * CHOOSE( CONTROL!$C$15, $D$11, 100%, $F$11)</f>
        <v>14.2599</v>
      </c>
      <c r="E547" s="12">
        <f>CHOOSE( CONTROL!$C$32, 14.2674, 14.2664) * CHOOSE( CONTROL!$C$15, $D$11, 100%, $F$11)</f>
        <v>14.2674</v>
      </c>
      <c r="F547" s="4">
        <f>CHOOSE( CONTROL!$C$32, 14.9422, 14.9411) * CHOOSE(CONTROL!$C$15, $D$11, 100%, $F$11)</f>
        <v>14.9422</v>
      </c>
      <c r="G547" s="8">
        <f>CHOOSE( CONTROL!$C$32, 14.1113, 14.1102) * CHOOSE( CONTROL!$C$15, $D$11, 100%, $F$11)</f>
        <v>14.1113</v>
      </c>
      <c r="H547" s="4">
        <f>CHOOSE( CONTROL!$C$32, 15.0139, 15.0128) * CHOOSE(CONTROL!$C$15, $D$11, 100%, $F$11)</f>
        <v>15.0139</v>
      </c>
      <c r="I547" s="8">
        <f>CHOOSE( CONTROL!$C$32, 13.9989, 13.9978) * CHOOSE(CONTROL!$C$15, $D$11, 100%, $F$11)</f>
        <v>13.998900000000001</v>
      </c>
      <c r="J547" s="4">
        <f>CHOOSE( CONTROL!$C$32, 13.847, 13.846) * CHOOSE(CONTROL!$C$15, $D$11, 100%, $F$11)</f>
        <v>13.847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57830</v>
      </c>
      <c r="B548" s="8">
        <f>CHOOSE( CONTROL!$C$32, 14.4945, 14.4934) * CHOOSE(CONTROL!$C$15, $D$11, 100%, $F$11)</f>
        <v>14.4945</v>
      </c>
      <c r="C548" s="8">
        <f>CHOOSE( CONTROL!$C$32, 14.499, 14.498) * CHOOSE(CONTROL!$C$15, $D$11, 100%, $F$11)</f>
        <v>14.499000000000001</v>
      </c>
      <c r="D548" s="8">
        <f>CHOOSE( CONTROL!$C$32, 14.5019, 14.5008) * CHOOSE( CONTROL!$C$15, $D$11, 100%, $F$11)</f>
        <v>14.501899999999999</v>
      </c>
      <c r="E548" s="12">
        <f>CHOOSE( CONTROL!$C$32, 14.5004, 14.4994) * CHOOSE( CONTROL!$C$15, $D$11, 100%, $F$11)</f>
        <v>14.500400000000001</v>
      </c>
      <c r="F548" s="4">
        <f>CHOOSE( CONTROL!$C$32, 15.2028, 15.2018) * CHOOSE(CONTROL!$C$15, $D$11, 100%, $F$11)</f>
        <v>15.2028</v>
      </c>
      <c r="G548" s="8">
        <f>CHOOSE( CONTROL!$C$32, 14.3361, 14.335) * CHOOSE( CONTROL!$C$15, $D$11, 100%, $F$11)</f>
        <v>14.3361</v>
      </c>
      <c r="H548" s="4">
        <f>CHOOSE( CONTROL!$C$32, 15.2714, 15.2704) * CHOOSE(CONTROL!$C$15, $D$11, 100%, $F$11)</f>
        <v>15.2714</v>
      </c>
      <c r="I548" s="8">
        <f>CHOOSE( CONTROL!$C$32, 14.1817, 14.1806) * CHOOSE(CONTROL!$C$15, $D$11, 100%, $F$11)</f>
        <v>14.181699999999999</v>
      </c>
      <c r="J548" s="4">
        <f>CHOOSE( CONTROL!$C$32, 14.0574, 14.0564) * CHOOSE(CONTROL!$C$15, $D$11, 100%, $F$11)</f>
        <v>14.057399999999999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1.2509999999999999</v>
      </c>
      <c r="Q548" s="9">
        <v>19.053000000000001</v>
      </c>
      <c r="R548" s="9"/>
      <c r="S548" s="11"/>
    </row>
    <row r="549" spans="1:19" ht="15.75">
      <c r="A549" s="13">
        <v>57861</v>
      </c>
      <c r="B549" s="8">
        <f>CHOOSE( CONTROL!$C$32, 14.8824, 14.8807) * CHOOSE(CONTROL!$C$15, $D$11, 100%, $F$11)</f>
        <v>14.882400000000001</v>
      </c>
      <c r="C549" s="8">
        <f>CHOOSE( CONTROL!$C$32, 14.8904, 14.8887) * CHOOSE(CONTROL!$C$15, $D$11, 100%, $F$11)</f>
        <v>14.8904</v>
      </c>
      <c r="D549" s="8">
        <f>CHOOSE( CONTROL!$C$32, 14.8871, 14.8855) * CHOOSE( CONTROL!$C$15, $D$11, 100%, $F$11)</f>
        <v>14.8871</v>
      </c>
      <c r="E549" s="12">
        <f>CHOOSE( CONTROL!$C$32, 14.8871, 14.8854) * CHOOSE( CONTROL!$C$15, $D$11, 100%, $F$11)</f>
        <v>14.8871</v>
      </c>
      <c r="F549" s="4">
        <f>CHOOSE( CONTROL!$C$32, 15.5893, 15.5877) * CHOOSE(CONTROL!$C$15, $D$11, 100%, $F$11)</f>
        <v>15.5893</v>
      </c>
      <c r="G549" s="8">
        <f>CHOOSE( CONTROL!$C$32, 14.7179, 14.7163) * CHOOSE( CONTROL!$C$15, $D$11, 100%, $F$11)</f>
        <v>14.7179</v>
      </c>
      <c r="H549" s="4">
        <f>CHOOSE( CONTROL!$C$32, 15.6534, 15.6518) * CHOOSE(CONTROL!$C$15, $D$11, 100%, $F$11)</f>
        <v>15.6534</v>
      </c>
      <c r="I549" s="8">
        <f>CHOOSE( CONTROL!$C$32, 14.5562, 14.5546) * CHOOSE(CONTROL!$C$15, $D$11, 100%, $F$11)</f>
        <v>14.5562</v>
      </c>
      <c r="J549" s="4">
        <f>CHOOSE( CONTROL!$C$32, 14.4325, 14.4309) * CHOOSE(CONTROL!$C$15, $D$11, 100%, $F$11)</f>
        <v>14.432499999999999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1.2927</v>
      </c>
      <c r="Q549" s="9">
        <v>19.688099999999999</v>
      </c>
      <c r="R549" s="9"/>
      <c r="S549" s="11"/>
    </row>
    <row r="550" spans="1:19" ht="15.75">
      <c r="A550" s="13">
        <v>57891</v>
      </c>
      <c r="B550" s="8">
        <f>CHOOSE( CONTROL!$C$32, 14.6433, 14.6417) * CHOOSE(CONTROL!$C$15, $D$11, 100%, $F$11)</f>
        <v>14.6433</v>
      </c>
      <c r="C550" s="8">
        <f>CHOOSE( CONTROL!$C$32, 14.6513, 14.6496) * CHOOSE(CONTROL!$C$15, $D$11, 100%, $F$11)</f>
        <v>14.651300000000001</v>
      </c>
      <c r="D550" s="8">
        <f>CHOOSE( CONTROL!$C$32, 14.6483, 14.6466) * CHOOSE( CONTROL!$C$15, $D$11, 100%, $F$11)</f>
        <v>14.648300000000001</v>
      </c>
      <c r="E550" s="12">
        <f>CHOOSE( CONTROL!$C$32, 14.6482, 14.6465) * CHOOSE( CONTROL!$C$15, $D$11, 100%, $F$11)</f>
        <v>14.648199999999999</v>
      </c>
      <c r="F550" s="4">
        <f>CHOOSE( CONTROL!$C$32, 15.3503, 15.3486) * CHOOSE(CONTROL!$C$15, $D$11, 100%, $F$11)</f>
        <v>15.350300000000001</v>
      </c>
      <c r="G550" s="8">
        <f>CHOOSE( CONTROL!$C$32, 14.4818, 14.4802) * CHOOSE( CONTROL!$C$15, $D$11, 100%, $F$11)</f>
        <v>14.4818</v>
      </c>
      <c r="H550" s="4">
        <f>CHOOSE( CONTROL!$C$32, 15.4172, 15.4155) * CHOOSE(CONTROL!$C$15, $D$11, 100%, $F$11)</f>
        <v>15.417199999999999</v>
      </c>
      <c r="I550" s="8">
        <f>CHOOSE( CONTROL!$C$32, 14.3249, 14.3233) * CHOOSE(CONTROL!$C$15, $D$11, 100%, $F$11)</f>
        <v>14.3249</v>
      </c>
      <c r="J550" s="4">
        <f>CHOOSE( CONTROL!$C$32, 14.2005, 14.1989) * CHOOSE(CONTROL!$C$15, $D$11, 100%, $F$11)</f>
        <v>14.2005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1.2509999999999999</v>
      </c>
      <c r="Q550" s="9">
        <v>19.053000000000001</v>
      </c>
      <c r="R550" s="9"/>
      <c r="S550" s="11"/>
    </row>
    <row r="551" spans="1:19" ht="15.75">
      <c r="A551" s="13">
        <v>57922</v>
      </c>
      <c r="B551" s="8">
        <f>CHOOSE( CONTROL!$C$32, 15.2729, 15.2712) * CHOOSE(CONTROL!$C$15, $D$11, 100%, $F$11)</f>
        <v>15.2729</v>
      </c>
      <c r="C551" s="8">
        <f>CHOOSE( CONTROL!$C$32, 15.2809, 15.2792) * CHOOSE(CONTROL!$C$15, $D$11, 100%, $F$11)</f>
        <v>15.280900000000001</v>
      </c>
      <c r="D551" s="8">
        <f>CHOOSE( CONTROL!$C$32, 15.2781, 15.2764) * CHOOSE( CONTROL!$C$15, $D$11, 100%, $F$11)</f>
        <v>15.2781</v>
      </c>
      <c r="E551" s="12">
        <f>CHOOSE( CONTROL!$C$32, 15.2779, 15.2762) * CHOOSE( CONTROL!$C$15, $D$11, 100%, $F$11)</f>
        <v>15.277900000000001</v>
      </c>
      <c r="F551" s="4">
        <f>CHOOSE( CONTROL!$C$32, 15.9798, 15.9782) * CHOOSE(CONTROL!$C$15, $D$11, 100%, $F$11)</f>
        <v>15.979799999999999</v>
      </c>
      <c r="G551" s="8">
        <f>CHOOSE( CONTROL!$C$32, 15.1042, 15.1026) * CHOOSE( CONTROL!$C$15, $D$11, 100%, $F$11)</f>
        <v>15.104200000000001</v>
      </c>
      <c r="H551" s="4">
        <f>CHOOSE( CONTROL!$C$32, 16.0393, 16.0377) * CHOOSE(CONTROL!$C$15, $D$11, 100%, $F$11)</f>
        <v>16.039300000000001</v>
      </c>
      <c r="I551" s="8">
        <f>CHOOSE( CONTROL!$C$32, 14.937, 14.9354) * CHOOSE(CONTROL!$C$15, $D$11, 100%, $F$11)</f>
        <v>14.936999999999999</v>
      </c>
      <c r="J551" s="4">
        <f>CHOOSE( CONTROL!$C$32, 14.8115, 14.8099) * CHOOSE(CONTROL!$C$15, $D$11, 100%, $F$11)</f>
        <v>14.811500000000001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1.2927</v>
      </c>
      <c r="Q551" s="9">
        <v>19.688099999999999</v>
      </c>
      <c r="R551" s="9"/>
      <c r="S551" s="11"/>
    </row>
    <row r="552" spans="1:19" ht="15.75">
      <c r="A552" s="13">
        <v>57953</v>
      </c>
      <c r="B552" s="8">
        <f>CHOOSE( CONTROL!$C$32, 14.0949, 14.0933) * CHOOSE(CONTROL!$C$15, $D$11, 100%, $F$11)</f>
        <v>14.094900000000001</v>
      </c>
      <c r="C552" s="8">
        <f>CHOOSE( CONTROL!$C$32, 14.1029, 14.1012) * CHOOSE(CONTROL!$C$15, $D$11, 100%, $F$11)</f>
        <v>14.1029</v>
      </c>
      <c r="D552" s="8">
        <f>CHOOSE( CONTROL!$C$32, 14.1002, 14.0985) * CHOOSE( CONTROL!$C$15, $D$11, 100%, $F$11)</f>
        <v>14.100199999999999</v>
      </c>
      <c r="E552" s="12">
        <f>CHOOSE( CONTROL!$C$32, 14.1, 14.0983) * CHOOSE( CONTROL!$C$15, $D$11, 100%, $F$11)</f>
        <v>14.1</v>
      </c>
      <c r="F552" s="4">
        <f>CHOOSE( CONTROL!$C$32, 14.8019, 14.8002) * CHOOSE(CONTROL!$C$15, $D$11, 100%, $F$11)</f>
        <v>14.8019</v>
      </c>
      <c r="G552" s="8">
        <f>CHOOSE( CONTROL!$C$32, 13.9401, 13.9385) * CHOOSE( CONTROL!$C$15, $D$11, 100%, $F$11)</f>
        <v>13.940099999999999</v>
      </c>
      <c r="H552" s="4">
        <f>CHOOSE( CONTROL!$C$32, 14.8752, 14.8735) * CHOOSE(CONTROL!$C$15, $D$11, 100%, $F$11)</f>
        <v>14.8752</v>
      </c>
      <c r="I552" s="8">
        <f>CHOOSE( CONTROL!$C$32, 13.7936, 13.792) * CHOOSE(CONTROL!$C$15, $D$11, 100%, $F$11)</f>
        <v>13.7936</v>
      </c>
      <c r="J552" s="4">
        <f>CHOOSE( CONTROL!$C$32, 13.6683, 13.6667) * CHOOSE(CONTROL!$C$15, $D$11, 100%, $F$11)</f>
        <v>13.6683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1.2927</v>
      </c>
      <c r="Q552" s="9">
        <v>19.688099999999999</v>
      </c>
      <c r="R552" s="9"/>
      <c r="S552" s="11"/>
    </row>
    <row r="553" spans="1:19" ht="15.75">
      <c r="A553" s="13">
        <v>57983</v>
      </c>
      <c r="B553" s="8">
        <f>CHOOSE( CONTROL!$C$32, 13.7999, 13.7983) * CHOOSE(CONTROL!$C$15, $D$11, 100%, $F$11)</f>
        <v>13.799899999999999</v>
      </c>
      <c r="C553" s="8">
        <f>CHOOSE( CONTROL!$C$32, 13.8079, 13.8063) * CHOOSE(CONTROL!$C$15, $D$11, 100%, $F$11)</f>
        <v>13.8079</v>
      </c>
      <c r="D553" s="8">
        <f>CHOOSE( CONTROL!$C$32, 13.8052, 13.8035) * CHOOSE( CONTROL!$C$15, $D$11, 100%, $F$11)</f>
        <v>13.805199999999999</v>
      </c>
      <c r="E553" s="12">
        <f>CHOOSE( CONTROL!$C$32, 13.805, 13.8033) * CHOOSE( CONTROL!$C$15, $D$11, 100%, $F$11)</f>
        <v>13.805</v>
      </c>
      <c r="F553" s="4">
        <f>CHOOSE( CONTROL!$C$32, 14.5069, 14.5052) * CHOOSE(CONTROL!$C$15, $D$11, 100%, $F$11)</f>
        <v>14.5069</v>
      </c>
      <c r="G553" s="8">
        <f>CHOOSE( CONTROL!$C$32, 13.6486, 13.6469) * CHOOSE( CONTROL!$C$15, $D$11, 100%, $F$11)</f>
        <v>13.6486</v>
      </c>
      <c r="H553" s="4">
        <f>CHOOSE( CONTROL!$C$32, 14.5836, 14.582) * CHOOSE(CONTROL!$C$15, $D$11, 100%, $F$11)</f>
        <v>14.583600000000001</v>
      </c>
      <c r="I553" s="8">
        <f>CHOOSE( CONTROL!$C$32, 13.507, 13.5054) * CHOOSE(CONTROL!$C$15, $D$11, 100%, $F$11)</f>
        <v>13.507</v>
      </c>
      <c r="J553" s="4">
        <f>CHOOSE( CONTROL!$C$32, 13.382, 13.3804) * CHOOSE(CONTROL!$C$15, $D$11, 100%, $F$11)</f>
        <v>13.382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1.2509999999999999</v>
      </c>
      <c r="Q553" s="9">
        <v>19.053000000000001</v>
      </c>
      <c r="R553" s="9"/>
      <c r="S553" s="11"/>
    </row>
    <row r="554" spans="1:19" ht="15.75">
      <c r="A554" s="13">
        <v>58014</v>
      </c>
      <c r="B554" s="8">
        <f>CHOOSE( CONTROL!$C$32, 14.4101, 14.409) * CHOOSE(CONTROL!$C$15, $D$11, 100%, $F$11)</f>
        <v>14.4101</v>
      </c>
      <c r="C554" s="8">
        <f>CHOOSE( CONTROL!$C$32, 14.4154, 14.4144) * CHOOSE(CONTROL!$C$15, $D$11, 100%, $F$11)</f>
        <v>14.4154</v>
      </c>
      <c r="D554" s="8">
        <f>CHOOSE( CONTROL!$C$32, 14.4184, 14.4173) * CHOOSE( CONTROL!$C$15, $D$11, 100%, $F$11)</f>
        <v>14.4184</v>
      </c>
      <c r="E554" s="12">
        <f>CHOOSE( CONTROL!$C$32, 14.4168, 14.4158) * CHOOSE( CONTROL!$C$15, $D$11, 100%, $F$11)</f>
        <v>14.4168</v>
      </c>
      <c r="F554" s="4">
        <f>CHOOSE( CONTROL!$C$32, 15.1188, 15.1177) * CHOOSE(CONTROL!$C$15, $D$11, 100%, $F$11)</f>
        <v>15.1188</v>
      </c>
      <c r="G554" s="8">
        <f>CHOOSE( CONTROL!$C$32, 14.2534, 14.2524) * CHOOSE( CONTROL!$C$15, $D$11, 100%, $F$11)</f>
        <v>14.253399999999999</v>
      </c>
      <c r="H554" s="4">
        <f>CHOOSE( CONTROL!$C$32, 15.1884, 15.1873) * CHOOSE(CONTROL!$C$15, $D$11, 100%, $F$11)</f>
        <v>15.1884</v>
      </c>
      <c r="I554" s="8">
        <f>CHOOSE( CONTROL!$C$32, 14.1019, 14.1009) * CHOOSE(CONTROL!$C$15, $D$11, 100%, $F$11)</f>
        <v>14.101900000000001</v>
      </c>
      <c r="J554" s="4">
        <f>CHOOSE( CONTROL!$C$32, 13.9759, 13.9748) * CHOOSE(CONTROL!$C$15, $D$11, 100%, $F$11)</f>
        <v>13.975899999999999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1.2927</v>
      </c>
      <c r="Q554" s="9">
        <v>19.688099999999999</v>
      </c>
      <c r="R554" s="9"/>
      <c r="S554" s="11"/>
    </row>
    <row r="555" spans="1:19" ht="15.75">
      <c r="A555" s="13">
        <v>58044</v>
      </c>
      <c r="B555" s="8">
        <f>CHOOSE( CONTROL!$C$32, 15.5402, 15.5391) * CHOOSE(CONTROL!$C$15, $D$11, 100%, $F$11)</f>
        <v>15.5402</v>
      </c>
      <c r="C555" s="8">
        <f>CHOOSE( CONTROL!$C$32, 15.5453, 15.5442) * CHOOSE(CONTROL!$C$15, $D$11, 100%, $F$11)</f>
        <v>15.545299999999999</v>
      </c>
      <c r="D555" s="8">
        <f>CHOOSE( CONTROL!$C$32, 15.5275, 15.5264) * CHOOSE( CONTROL!$C$15, $D$11, 100%, $F$11)</f>
        <v>15.5275</v>
      </c>
      <c r="E555" s="12">
        <f>CHOOSE( CONTROL!$C$32, 15.5335, 15.5324) * CHOOSE( CONTROL!$C$15, $D$11, 100%, $F$11)</f>
        <v>15.5335</v>
      </c>
      <c r="F555" s="4">
        <f>CHOOSE( CONTROL!$C$32, 16.2055, 16.2044) * CHOOSE(CONTROL!$C$15, $D$11, 100%, $F$11)</f>
        <v>16.205500000000001</v>
      </c>
      <c r="G555" s="8">
        <f>CHOOSE( CONTROL!$C$32, 15.3698, 15.3687) * CHOOSE( CONTROL!$C$15, $D$11, 100%, $F$11)</f>
        <v>15.3698</v>
      </c>
      <c r="H555" s="4">
        <f>CHOOSE( CONTROL!$C$32, 16.2624, 16.2613) * CHOOSE(CONTROL!$C$15, $D$11, 100%, $F$11)</f>
        <v>16.2624</v>
      </c>
      <c r="I555" s="8">
        <f>CHOOSE( CONTROL!$C$32, 15.2614, 15.2603) * CHOOSE(CONTROL!$C$15, $D$11, 100%, $F$11)</f>
        <v>15.2614</v>
      </c>
      <c r="J555" s="4">
        <f>CHOOSE( CONTROL!$C$32, 15.073, 15.072) * CHOOSE(CONTROL!$C$15, $D$11, 100%, $F$11)</f>
        <v>15.073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58075</v>
      </c>
      <c r="B556" s="8">
        <f>CHOOSE( CONTROL!$C$32, 15.512, 15.5109) * CHOOSE(CONTROL!$C$15, $D$11, 100%, $F$11)</f>
        <v>15.512</v>
      </c>
      <c r="C556" s="8">
        <f>CHOOSE( CONTROL!$C$32, 15.517, 15.516) * CHOOSE(CONTROL!$C$15, $D$11, 100%, $F$11)</f>
        <v>15.516999999999999</v>
      </c>
      <c r="D556" s="8">
        <f>CHOOSE( CONTROL!$C$32, 15.5007, 15.4996) * CHOOSE( CONTROL!$C$15, $D$11, 100%, $F$11)</f>
        <v>15.5007</v>
      </c>
      <c r="E556" s="12">
        <f>CHOOSE( CONTROL!$C$32, 15.5061, 15.5051) * CHOOSE( CONTROL!$C$15, $D$11, 100%, $F$11)</f>
        <v>15.5061</v>
      </c>
      <c r="F556" s="4">
        <f>CHOOSE( CONTROL!$C$32, 16.1772, 16.1762) * CHOOSE(CONTROL!$C$15, $D$11, 100%, $F$11)</f>
        <v>16.177199999999999</v>
      </c>
      <c r="G556" s="8">
        <f>CHOOSE( CONTROL!$C$32, 15.3429, 15.3418) * CHOOSE( CONTROL!$C$15, $D$11, 100%, $F$11)</f>
        <v>15.3429</v>
      </c>
      <c r="H556" s="4">
        <f>CHOOSE( CONTROL!$C$32, 16.2344, 16.2334) * CHOOSE(CONTROL!$C$15, $D$11, 100%, $F$11)</f>
        <v>16.234400000000001</v>
      </c>
      <c r="I556" s="8">
        <f>CHOOSE( CONTROL!$C$32, 15.2384, 15.2374) * CHOOSE(CONTROL!$C$15, $D$11, 100%, $F$11)</f>
        <v>15.2384</v>
      </c>
      <c r="J556" s="4">
        <f>CHOOSE( CONTROL!$C$32, 15.0456, 15.0446) * CHOOSE(CONTROL!$C$15, $D$11, 100%, $F$11)</f>
        <v>15.0456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58106</v>
      </c>
      <c r="B557" s="8">
        <f>CHOOSE( CONTROL!$C$32, 15.9692, 15.9681) * CHOOSE(CONTROL!$C$15, $D$11, 100%, $F$11)</f>
        <v>15.969200000000001</v>
      </c>
      <c r="C557" s="8">
        <f>CHOOSE( CONTROL!$C$32, 15.9743, 15.9732) * CHOOSE(CONTROL!$C$15, $D$11, 100%, $F$11)</f>
        <v>15.974299999999999</v>
      </c>
      <c r="D557" s="8">
        <f>CHOOSE( CONTROL!$C$32, 15.953, 15.9519) * CHOOSE( CONTROL!$C$15, $D$11, 100%, $F$11)</f>
        <v>15.952999999999999</v>
      </c>
      <c r="E557" s="12">
        <f>CHOOSE( CONTROL!$C$32, 15.9602, 15.9591) * CHOOSE( CONTROL!$C$15, $D$11, 100%, $F$11)</f>
        <v>15.9602</v>
      </c>
      <c r="F557" s="4">
        <f>CHOOSE( CONTROL!$C$32, 16.6345, 16.6334) * CHOOSE(CONTROL!$C$15, $D$11, 100%, $F$11)</f>
        <v>16.634499999999999</v>
      </c>
      <c r="G557" s="8">
        <f>CHOOSE( CONTROL!$C$32, 15.7843, 15.7833) * CHOOSE( CONTROL!$C$15, $D$11, 100%, $F$11)</f>
        <v>15.7843</v>
      </c>
      <c r="H557" s="4">
        <f>CHOOSE( CONTROL!$C$32, 16.6863, 16.6853) * CHOOSE(CONTROL!$C$15, $D$11, 100%, $F$11)</f>
        <v>16.686299999999999</v>
      </c>
      <c r="I557" s="8">
        <f>CHOOSE( CONTROL!$C$32, 15.6445, 15.6434) * CHOOSE(CONTROL!$C$15, $D$11, 100%, $F$11)</f>
        <v>15.644500000000001</v>
      </c>
      <c r="J557" s="4">
        <f>CHOOSE( CONTROL!$C$32, 15.4894, 15.4883) * CHOOSE(CONTROL!$C$15, $D$11, 100%, $F$11)</f>
        <v>15.4894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58134</v>
      </c>
      <c r="B558" s="8">
        <f>CHOOSE( CONTROL!$C$32, 14.9375, 14.9364) * CHOOSE(CONTROL!$C$15, $D$11, 100%, $F$11)</f>
        <v>14.9375</v>
      </c>
      <c r="C558" s="8">
        <f>CHOOSE( CONTROL!$C$32, 14.9426, 14.9415) * CHOOSE(CONTROL!$C$15, $D$11, 100%, $F$11)</f>
        <v>14.942600000000001</v>
      </c>
      <c r="D558" s="8">
        <f>CHOOSE( CONTROL!$C$32, 14.9212, 14.9201) * CHOOSE( CONTROL!$C$15, $D$11, 100%, $F$11)</f>
        <v>14.921200000000001</v>
      </c>
      <c r="E558" s="12">
        <f>CHOOSE( CONTROL!$C$32, 14.9285, 14.9274) * CHOOSE( CONTROL!$C$15, $D$11, 100%, $F$11)</f>
        <v>14.9285</v>
      </c>
      <c r="F558" s="4">
        <f>CHOOSE( CONTROL!$C$32, 15.6028, 15.6017) * CHOOSE(CONTROL!$C$15, $D$11, 100%, $F$11)</f>
        <v>15.6028</v>
      </c>
      <c r="G558" s="8">
        <f>CHOOSE( CONTROL!$C$32, 14.7646, 14.7635) * CHOOSE( CONTROL!$C$15, $D$11, 100%, $F$11)</f>
        <v>14.7646</v>
      </c>
      <c r="H558" s="4">
        <f>CHOOSE( CONTROL!$C$32, 15.6667, 15.6656) * CHOOSE(CONTROL!$C$15, $D$11, 100%, $F$11)</f>
        <v>15.666700000000001</v>
      </c>
      <c r="I558" s="8">
        <f>CHOOSE( CONTROL!$C$32, 14.6423, 14.6412) * CHOOSE(CONTROL!$C$15, $D$11, 100%, $F$11)</f>
        <v>14.642300000000001</v>
      </c>
      <c r="J558" s="4">
        <f>CHOOSE( CONTROL!$C$32, 14.4881, 14.487) * CHOOSE(CONTROL!$C$15, $D$11, 100%, $F$11)</f>
        <v>14.488099999999999</v>
      </c>
      <c r="K558" s="4"/>
      <c r="L558" s="9">
        <v>26.469899999999999</v>
      </c>
      <c r="M558" s="9">
        <v>10.8962</v>
      </c>
      <c r="N558" s="9">
        <v>4.4660000000000002</v>
      </c>
      <c r="O558" s="9">
        <v>0.33789999999999998</v>
      </c>
      <c r="P558" s="9">
        <v>1.1676</v>
      </c>
      <c r="Q558" s="9">
        <v>17.782800000000002</v>
      </c>
      <c r="R558" s="9"/>
      <c r="S558" s="11"/>
    </row>
    <row r="559" spans="1:19" ht="15.75">
      <c r="A559" s="13">
        <v>58165</v>
      </c>
      <c r="B559" s="8">
        <f>CHOOSE( CONTROL!$C$32, 14.6197, 14.6186) * CHOOSE(CONTROL!$C$15, $D$11, 100%, $F$11)</f>
        <v>14.6197</v>
      </c>
      <c r="C559" s="8">
        <f>CHOOSE( CONTROL!$C$32, 14.6248, 14.6237) * CHOOSE(CONTROL!$C$15, $D$11, 100%, $F$11)</f>
        <v>14.6248</v>
      </c>
      <c r="D559" s="8">
        <f>CHOOSE( CONTROL!$C$32, 14.6027, 14.6017) * CHOOSE( CONTROL!$C$15, $D$11, 100%, $F$11)</f>
        <v>14.6027</v>
      </c>
      <c r="E559" s="12">
        <f>CHOOSE( CONTROL!$C$32, 14.6102, 14.6092) * CHOOSE( CONTROL!$C$15, $D$11, 100%, $F$11)</f>
        <v>14.610200000000001</v>
      </c>
      <c r="F559" s="4">
        <f>CHOOSE( CONTROL!$C$32, 15.285, 15.2839) * CHOOSE(CONTROL!$C$15, $D$11, 100%, $F$11)</f>
        <v>15.285</v>
      </c>
      <c r="G559" s="8">
        <f>CHOOSE( CONTROL!$C$32, 14.4501, 14.449) * CHOOSE( CONTROL!$C$15, $D$11, 100%, $F$11)</f>
        <v>14.450100000000001</v>
      </c>
      <c r="H559" s="4">
        <f>CHOOSE( CONTROL!$C$32, 15.3526, 15.3516) * CHOOSE(CONTROL!$C$15, $D$11, 100%, $F$11)</f>
        <v>15.352600000000001</v>
      </c>
      <c r="I559" s="8">
        <f>CHOOSE( CONTROL!$C$32, 14.3317, 14.3307) * CHOOSE(CONTROL!$C$15, $D$11, 100%, $F$11)</f>
        <v>14.3317</v>
      </c>
      <c r="J559" s="4">
        <f>CHOOSE( CONTROL!$C$32, 14.1797, 14.1786) * CHOOSE(CONTROL!$C$15, $D$11, 100%, $F$11)</f>
        <v>14.1797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58195</v>
      </c>
      <c r="B560" s="8">
        <f>CHOOSE( CONTROL!$C$32, 14.8425, 14.8415) * CHOOSE(CONTROL!$C$15, $D$11, 100%, $F$11)</f>
        <v>14.842499999999999</v>
      </c>
      <c r="C560" s="8">
        <f>CHOOSE( CONTROL!$C$32, 14.847, 14.846) * CHOOSE(CONTROL!$C$15, $D$11, 100%, $F$11)</f>
        <v>14.847</v>
      </c>
      <c r="D560" s="8">
        <f>CHOOSE( CONTROL!$C$32, 14.8499, 14.8488) * CHOOSE( CONTROL!$C$15, $D$11, 100%, $F$11)</f>
        <v>14.8499</v>
      </c>
      <c r="E560" s="12">
        <f>CHOOSE( CONTROL!$C$32, 14.8484, 14.8474) * CHOOSE( CONTROL!$C$15, $D$11, 100%, $F$11)</f>
        <v>14.8484</v>
      </c>
      <c r="F560" s="4">
        <f>CHOOSE( CONTROL!$C$32, 15.5508, 15.5498) * CHOOSE(CONTROL!$C$15, $D$11, 100%, $F$11)</f>
        <v>15.550800000000001</v>
      </c>
      <c r="G560" s="8">
        <f>CHOOSE( CONTROL!$C$32, 14.68, 14.6789) * CHOOSE( CONTROL!$C$15, $D$11, 100%, $F$11)</f>
        <v>14.68</v>
      </c>
      <c r="H560" s="4">
        <f>CHOOSE( CONTROL!$C$32, 15.6154, 15.6143) * CHOOSE(CONTROL!$C$15, $D$11, 100%, $F$11)</f>
        <v>15.615399999999999</v>
      </c>
      <c r="I560" s="8">
        <f>CHOOSE( CONTROL!$C$32, 14.5196, 14.5185) * CHOOSE(CONTROL!$C$15, $D$11, 100%, $F$11)</f>
        <v>14.519600000000001</v>
      </c>
      <c r="J560" s="4">
        <f>CHOOSE( CONTROL!$C$32, 14.3952, 14.3941) * CHOOSE(CONTROL!$C$15, $D$11, 100%, $F$11)</f>
        <v>14.395200000000001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1.2509999999999999</v>
      </c>
      <c r="Q560" s="9">
        <v>19.053000000000001</v>
      </c>
      <c r="R560" s="9"/>
      <c r="S560" s="11"/>
    </row>
    <row r="561" spans="1:19" ht="15.75">
      <c r="A561" s="13">
        <v>58226</v>
      </c>
      <c r="B561" s="8">
        <f>CHOOSE( CONTROL!$C$32, 15.2397, 15.238) * CHOOSE(CONTROL!$C$15, $D$11, 100%, $F$11)</f>
        <v>15.239699999999999</v>
      </c>
      <c r="C561" s="8">
        <f>CHOOSE( CONTROL!$C$32, 15.2477, 15.246) * CHOOSE(CONTROL!$C$15, $D$11, 100%, $F$11)</f>
        <v>15.2477</v>
      </c>
      <c r="D561" s="8">
        <f>CHOOSE( CONTROL!$C$32, 15.2444, 15.2427) * CHOOSE( CONTROL!$C$15, $D$11, 100%, $F$11)</f>
        <v>15.244400000000001</v>
      </c>
      <c r="E561" s="12">
        <f>CHOOSE( CONTROL!$C$32, 15.2444, 15.2427) * CHOOSE( CONTROL!$C$15, $D$11, 100%, $F$11)</f>
        <v>15.244400000000001</v>
      </c>
      <c r="F561" s="4">
        <f>CHOOSE( CONTROL!$C$32, 15.9466, 15.945) * CHOOSE(CONTROL!$C$15, $D$11, 100%, $F$11)</f>
        <v>15.9466</v>
      </c>
      <c r="G561" s="8">
        <f>CHOOSE( CONTROL!$C$32, 15.071, 15.0694) * CHOOSE( CONTROL!$C$15, $D$11, 100%, $F$11)</f>
        <v>15.071</v>
      </c>
      <c r="H561" s="4">
        <f>CHOOSE( CONTROL!$C$32, 16.0065, 16.0049) * CHOOSE(CONTROL!$C$15, $D$11, 100%, $F$11)</f>
        <v>16.006499999999999</v>
      </c>
      <c r="I561" s="8">
        <f>CHOOSE( CONTROL!$C$32, 14.9032, 14.9015) * CHOOSE(CONTROL!$C$15, $D$11, 100%, $F$11)</f>
        <v>14.9032</v>
      </c>
      <c r="J561" s="4">
        <f>CHOOSE( CONTROL!$C$32, 14.7793, 14.7777) * CHOOSE(CONTROL!$C$15, $D$11, 100%, $F$11)</f>
        <v>14.779299999999999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1.2927</v>
      </c>
      <c r="Q561" s="9">
        <v>19.688099999999999</v>
      </c>
      <c r="R561" s="9"/>
      <c r="S561" s="11"/>
    </row>
    <row r="562" spans="1:19" ht="15.75">
      <c r="A562" s="13">
        <v>58256</v>
      </c>
      <c r="B562" s="8">
        <f>CHOOSE( CONTROL!$C$32, 14.9949, 14.9932) * CHOOSE(CONTROL!$C$15, $D$11, 100%, $F$11)</f>
        <v>14.994899999999999</v>
      </c>
      <c r="C562" s="8">
        <f>CHOOSE( CONTROL!$C$32, 15.0028, 15.0012) * CHOOSE(CONTROL!$C$15, $D$11, 100%, $F$11)</f>
        <v>15.002800000000001</v>
      </c>
      <c r="D562" s="8">
        <f>CHOOSE( CONTROL!$C$32, 14.9998, 14.9981) * CHOOSE( CONTROL!$C$15, $D$11, 100%, $F$11)</f>
        <v>14.9998</v>
      </c>
      <c r="E562" s="12">
        <f>CHOOSE( CONTROL!$C$32, 14.9997, 14.998) * CHOOSE( CONTROL!$C$15, $D$11, 100%, $F$11)</f>
        <v>14.999700000000001</v>
      </c>
      <c r="F562" s="4">
        <f>CHOOSE( CONTROL!$C$32, 15.7018, 15.7001) * CHOOSE(CONTROL!$C$15, $D$11, 100%, $F$11)</f>
        <v>15.7018</v>
      </c>
      <c r="G562" s="8">
        <f>CHOOSE( CONTROL!$C$32, 14.8292, 14.8276) * CHOOSE( CONTROL!$C$15, $D$11, 100%, $F$11)</f>
        <v>14.8292</v>
      </c>
      <c r="H562" s="4">
        <f>CHOOSE( CONTROL!$C$32, 15.7646, 15.7629) * CHOOSE(CONTROL!$C$15, $D$11, 100%, $F$11)</f>
        <v>15.7646</v>
      </c>
      <c r="I562" s="8">
        <f>CHOOSE( CONTROL!$C$32, 14.6662, 14.6646) * CHOOSE(CONTROL!$C$15, $D$11, 100%, $F$11)</f>
        <v>14.6662</v>
      </c>
      <c r="J562" s="4">
        <f>CHOOSE( CONTROL!$C$32, 14.5417, 14.5401) * CHOOSE(CONTROL!$C$15, $D$11, 100%, $F$11)</f>
        <v>14.541700000000001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1.2509999999999999</v>
      </c>
      <c r="Q562" s="9">
        <v>19.053000000000001</v>
      </c>
      <c r="R562" s="9"/>
      <c r="S562" s="11"/>
    </row>
    <row r="563" spans="1:19" ht="15.75">
      <c r="A563" s="13">
        <v>58287</v>
      </c>
      <c r="B563" s="8">
        <f>CHOOSE( CONTROL!$C$32, 15.6395, 15.6379) * CHOOSE(CONTROL!$C$15, $D$11, 100%, $F$11)</f>
        <v>15.6395</v>
      </c>
      <c r="C563" s="8">
        <f>CHOOSE( CONTROL!$C$32, 15.6475, 15.6459) * CHOOSE(CONTROL!$C$15, $D$11, 100%, $F$11)</f>
        <v>15.647500000000001</v>
      </c>
      <c r="D563" s="8">
        <f>CHOOSE( CONTROL!$C$32, 15.6447, 15.6431) * CHOOSE( CONTROL!$C$15, $D$11, 100%, $F$11)</f>
        <v>15.6447</v>
      </c>
      <c r="E563" s="12">
        <f>CHOOSE( CONTROL!$C$32, 15.6445, 15.6429) * CHOOSE( CONTROL!$C$15, $D$11, 100%, $F$11)</f>
        <v>15.644500000000001</v>
      </c>
      <c r="F563" s="4">
        <f>CHOOSE( CONTROL!$C$32, 16.3465, 16.3448) * CHOOSE(CONTROL!$C$15, $D$11, 100%, $F$11)</f>
        <v>16.346499999999999</v>
      </c>
      <c r="G563" s="8">
        <f>CHOOSE( CONTROL!$C$32, 15.4666, 15.4649) * CHOOSE( CONTROL!$C$15, $D$11, 100%, $F$11)</f>
        <v>15.4666</v>
      </c>
      <c r="H563" s="4">
        <f>CHOOSE( CONTROL!$C$32, 16.4017, 16.4001) * CHOOSE(CONTROL!$C$15, $D$11, 100%, $F$11)</f>
        <v>16.401700000000002</v>
      </c>
      <c r="I563" s="8">
        <f>CHOOSE( CONTROL!$C$32, 15.293, 15.2914) * CHOOSE(CONTROL!$C$15, $D$11, 100%, $F$11)</f>
        <v>15.292999999999999</v>
      </c>
      <c r="J563" s="4">
        <f>CHOOSE( CONTROL!$C$32, 15.1674, 15.1658) * CHOOSE(CONTROL!$C$15, $D$11, 100%, $F$11)</f>
        <v>15.167400000000001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1.2927</v>
      </c>
      <c r="Q563" s="9">
        <v>19.688099999999999</v>
      </c>
      <c r="R563" s="9"/>
      <c r="S563" s="11"/>
    </row>
    <row r="564" spans="1:19" ht="15.75">
      <c r="A564" s="13">
        <v>58318</v>
      </c>
      <c r="B564" s="8">
        <f>CHOOSE( CONTROL!$C$32, 14.4333, 14.4316) * CHOOSE(CONTROL!$C$15, $D$11, 100%, $F$11)</f>
        <v>14.433299999999999</v>
      </c>
      <c r="C564" s="8">
        <f>CHOOSE( CONTROL!$C$32, 14.4413, 14.4396) * CHOOSE(CONTROL!$C$15, $D$11, 100%, $F$11)</f>
        <v>14.4413</v>
      </c>
      <c r="D564" s="8">
        <f>CHOOSE( CONTROL!$C$32, 14.4386, 14.4369) * CHOOSE( CONTROL!$C$15, $D$11, 100%, $F$11)</f>
        <v>14.438599999999999</v>
      </c>
      <c r="E564" s="12">
        <f>CHOOSE( CONTROL!$C$32, 14.4384, 14.4367) * CHOOSE( CONTROL!$C$15, $D$11, 100%, $F$11)</f>
        <v>14.4384</v>
      </c>
      <c r="F564" s="4">
        <f>CHOOSE( CONTROL!$C$32, 15.1402, 15.1386) * CHOOSE(CONTROL!$C$15, $D$11, 100%, $F$11)</f>
        <v>15.1402</v>
      </c>
      <c r="G564" s="8">
        <f>CHOOSE( CONTROL!$C$32, 14.2745, 14.2729) * CHOOSE( CONTROL!$C$15, $D$11, 100%, $F$11)</f>
        <v>14.2745</v>
      </c>
      <c r="H564" s="4">
        <f>CHOOSE( CONTROL!$C$32, 15.2096, 15.2079) * CHOOSE(CONTROL!$C$15, $D$11, 100%, $F$11)</f>
        <v>15.2096</v>
      </c>
      <c r="I564" s="8">
        <f>CHOOSE( CONTROL!$C$32, 14.1221, 14.1205) * CHOOSE(CONTROL!$C$15, $D$11, 100%, $F$11)</f>
        <v>14.1221</v>
      </c>
      <c r="J564" s="4">
        <f>CHOOSE( CONTROL!$C$32, 13.9967, 13.9951) * CHOOSE(CONTROL!$C$15, $D$11, 100%, $F$11)</f>
        <v>13.996700000000001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1.2927</v>
      </c>
      <c r="Q564" s="9">
        <v>19.688099999999999</v>
      </c>
      <c r="R564" s="9"/>
      <c r="S564" s="11"/>
    </row>
    <row r="565" spans="1:19" ht="15.75">
      <c r="A565" s="13">
        <v>58348</v>
      </c>
      <c r="B565" s="8">
        <f>CHOOSE( CONTROL!$C$32, 14.1312, 14.1296) * CHOOSE(CONTROL!$C$15, $D$11, 100%, $F$11)</f>
        <v>14.1312</v>
      </c>
      <c r="C565" s="8">
        <f>CHOOSE( CONTROL!$C$32, 14.1392, 14.1375) * CHOOSE(CONTROL!$C$15, $D$11, 100%, $F$11)</f>
        <v>14.139200000000001</v>
      </c>
      <c r="D565" s="8">
        <f>CHOOSE( CONTROL!$C$32, 14.1364, 14.1348) * CHOOSE( CONTROL!$C$15, $D$11, 100%, $F$11)</f>
        <v>14.1364</v>
      </c>
      <c r="E565" s="12">
        <f>CHOOSE( CONTROL!$C$32, 14.1362, 14.1346) * CHOOSE( CONTROL!$C$15, $D$11, 100%, $F$11)</f>
        <v>14.136200000000001</v>
      </c>
      <c r="F565" s="4">
        <f>CHOOSE( CONTROL!$C$32, 14.8382, 14.8365) * CHOOSE(CONTROL!$C$15, $D$11, 100%, $F$11)</f>
        <v>14.838200000000001</v>
      </c>
      <c r="G565" s="8">
        <f>CHOOSE( CONTROL!$C$32, 13.9759, 13.9743) * CHOOSE( CONTROL!$C$15, $D$11, 100%, $F$11)</f>
        <v>13.975899999999999</v>
      </c>
      <c r="H565" s="4">
        <f>CHOOSE( CONTROL!$C$32, 14.911, 14.9094) * CHOOSE(CONTROL!$C$15, $D$11, 100%, $F$11)</f>
        <v>14.911</v>
      </c>
      <c r="I565" s="8">
        <f>CHOOSE( CONTROL!$C$32, 13.8286, 13.827) * CHOOSE(CONTROL!$C$15, $D$11, 100%, $F$11)</f>
        <v>13.8286</v>
      </c>
      <c r="J565" s="4">
        <f>CHOOSE( CONTROL!$C$32, 13.7035, 13.7019) * CHOOSE(CONTROL!$C$15, $D$11, 100%, $F$11)</f>
        <v>13.7035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1.2509999999999999</v>
      </c>
      <c r="Q565" s="9">
        <v>19.053000000000001</v>
      </c>
      <c r="R565" s="9"/>
      <c r="S565" s="11"/>
    </row>
    <row r="566" spans="1:19" ht="15.75">
      <c r="A566" s="13">
        <v>58379</v>
      </c>
      <c r="B566" s="8">
        <f>CHOOSE( CONTROL!$C$32, 14.7561, 14.755) * CHOOSE(CONTROL!$C$15, $D$11, 100%, $F$11)</f>
        <v>14.7561</v>
      </c>
      <c r="C566" s="8">
        <f>CHOOSE( CONTROL!$C$32, 14.7614, 14.7603) * CHOOSE(CONTROL!$C$15, $D$11, 100%, $F$11)</f>
        <v>14.7614</v>
      </c>
      <c r="D566" s="8">
        <f>CHOOSE( CONTROL!$C$32, 14.7643, 14.7633) * CHOOSE( CONTROL!$C$15, $D$11, 100%, $F$11)</f>
        <v>14.7643</v>
      </c>
      <c r="E566" s="12">
        <f>CHOOSE( CONTROL!$C$32, 14.7628, 14.7617) * CHOOSE( CONTROL!$C$15, $D$11, 100%, $F$11)</f>
        <v>14.7628</v>
      </c>
      <c r="F566" s="4">
        <f>CHOOSE( CONTROL!$C$32, 15.4648, 15.4637) * CHOOSE(CONTROL!$C$15, $D$11, 100%, $F$11)</f>
        <v>15.4648</v>
      </c>
      <c r="G566" s="8">
        <f>CHOOSE( CONTROL!$C$32, 14.5954, 14.5943) * CHOOSE( CONTROL!$C$15, $D$11, 100%, $F$11)</f>
        <v>14.5954</v>
      </c>
      <c r="H566" s="4">
        <f>CHOOSE( CONTROL!$C$32, 15.5303, 15.5292) * CHOOSE(CONTROL!$C$15, $D$11, 100%, $F$11)</f>
        <v>15.5303</v>
      </c>
      <c r="I566" s="8">
        <f>CHOOSE( CONTROL!$C$32, 14.4379, 14.4368) * CHOOSE(CONTROL!$C$15, $D$11, 100%, $F$11)</f>
        <v>14.437900000000001</v>
      </c>
      <c r="J566" s="4">
        <f>CHOOSE( CONTROL!$C$32, 14.3117, 14.3106) * CHOOSE(CONTROL!$C$15, $D$11, 100%, $F$11)</f>
        <v>14.3117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1.2927</v>
      </c>
      <c r="Q566" s="9">
        <v>19.688099999999999</v>
      </c>
      <c r="R566" s="9"/>
      <c r="S566" s="11"/>
    </row>
    <row r="567" spans="1:19" ht="15.75">
      <c r="A567" s="13">
        <v>58409</v>
      </c>
      <c r="B567" s="8">
        <f>CHOOSE( CONTROL!$C$32, 15.9134, 15.9123) * CHOOSE(CONTROL!$C$15, $D$11, 100%, $F$11)</f>
        <v>15.913399999999999</v>
      </c>
      <c r="C567" s="8">
        <f>CHOOSE( CONTROL!$C$32, 15.9184, 15.9174) * CHOOSE(CONTROL!$C$15, $D$11, 100%, $F$11)</f>
        <v>15.9184</v>
      </c>
      <c r="D567" s="8">
        <f>CHOOSE( CONTROL!$C$32, 15.9006, 15.8995) * CHOOSE( CONTROL!$C$15, $D$11, 100%, $F$11)</f>
        <v>15.900600000000001</v>
      </c>
      <c r="E567" s="12">
        <f>CHOOSE( CONTROL!$C$32, 15.9066, 15.9055) * CHOOSE( CONTROL!$C$15, $D$11, 100%, $F$11)</f>
        <v>15.906599999999999</v>
      </c>
      <c r="F567" s="4">
        <f>CHOOSE( CONTROL!$C$32, 16.5786, 16.5776) * CHOOSE(CONTROL!$C$15, $D$11, 100%, $F$11)</f>
        <v>16.578600000000002</v>
      </c>
      <c r="G567" s="8">
        <f>CHOOSE( CONTROL!$C$32, 15.7386, 15.7375) * CHOOSE( CONTROL!$C$15, $D$11, 100%, $F$11)</f>
        <v>15.7386</v>
      </c>
      <c r="H567" s="4">
        <f>CHOOSE( CONTROL!$C$32, 16.6311, 16.6301) * CHOOSE(CONTROL!$C$15, $D$11, 100%, $F$11)</f>
        <v>16.6311</v>
      </c>
      <c r="I567" s="8">
        <f>CHOOSE( CONTROL!$C$32, 15.6237, 15.6227) * CHOOSE(CONTROL!$C$15, $D$11, 100%, $F$11)</f>
        <v>15.623699999999999</v>
      </c>
      <c r="J567" s="4">
        <f>CHOOSE( CONTROL!$C$32, 15.4352, 15.4341) * CHOOSE(CONTROL!$C$15, $D$11, 100%, $F$11)</f>
        <v>15.4352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58440</v>
      </c>
      <c r="B568" s="8">
        <f>CHOOSE( CONTROL!$C$32, 15.8844, 15.8834) * CHOOSE(CONTROL!$C$15, $D$11, 100%, $F$11)</f>
        <v>15.884399999999999</v>
      </c>
      <c r="C568" s="8">
        <f>CHOOSE( CONTROL!$C$32, 15.8895, 15.8884) * CHOOSE(CONTROL!$C$15, $D$11, 100%, $F$11)</f>
        <v>15.8895</v>
      </c>
      <c r="D568" s="8">
        <f>CHOOSE( CONTROL!$C$32, 15.8731, 15.872) * CHOOSE( CONTROL!$C$15, $D$11, 100%, $F$11)</f>
        <v>15.873100000000001</v>
      </c>
      <c r="E568" s="12">
        <f>CHOOSE( CONTROL!$C$32, 15.8786, 15.8775) * CHOOSE( CONTROL!$C$15, $D$11, 100%, $F$11)</f>
        <v>15.8786</v>
      </c>
      <c r="F568" s="4">
        <f>CHOOSE( CONTROL!$C$32, 16.5497, 16.5486) * CHOOSE(CONTROL!$C$15, $D$11, 100%, $F$11)</f>
        <v>16.549700000000001</v>
      </c>
      <c r="G568" s="8">
        <f>CHOOSE( CONTROL!$C$32, 15.711, 15.71) * CHOOSE( CONTROL!$C$15, $D$11, 100%, $F$11)</f>
        <v>15.711</v>
      </c>
      <c r="H568" s="4">
        <f>CHOOSE( CONTROL!$C$32, 16.6026, 16.6015) * CHOOSE(CONTROL!$C$15, $D$11, 100%, $F$11)</f>
        <v>16.602599999999999</v>
      </c>
      <c r="I568" s="8">
        <f>CHOOSE( CONTROL!$C$32, 15.6001, 15.599) * CHOOSE(CONTROL!$C$15, $D$11, 100%, $F$11)</f>
        <v>15.600099999999999</v>
      </c>
      <c r="J568" s="4">
        <f>CHOOSE( CONTROL!$C$32, 15.4071, 15.406) * CHOOSE(CONTROL!$C$15, $D$11, 100%, $F$11)</f>
        <v>15.4071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58471</v>
      </c>
      <c r="B569" s="8">
        <f>CHOOSE( CONTROL!$C$32, 16.3527, 16.3516) * CHOOSE(CONTROL!$C$15, $D$11, 100%, $F$11)</f>
        <v>16.352699999999999</v>
      </c>
      <c r="C569" s="8">
        <f>CHOOSE( CONTROL!$C$32, 16.3578, 16.3567) * CHOOSE(CONTROL!$C$15, $D$11, 100%, $F$11)</f>
        <v>16.357800000000001</v>
      </c>
      <c r="D569" s="8">
        <f>CHOOSE( CONTROL!$C$32, 16.3365, 16.3354) * CHOOSE( CONTROL!$C$15, $D$11, 100%, $F$11)</f>
        <v>16.336500000000001</v>
      </c>
      <c r="E569" s="12">
        <f>CHOOSE( CONTROL!$C$32, 16.3437, 16.3426) * CHOOSE( CONTROL!$C$15, $D$11, 100%, $F$11)</f>
        <v>16.343699999999998</v>
      </c>
      <c r="F569" s="4">
        <f>CHOOSE( CONTROL!$C$32, 17.018, 17.0169) * CHOOSE(CONTROL!$C$15, $D$11, 100%, $F$11)</f>
        <v>17.018000000000001</v>
      </c>
      <c r="G569" s="8">
        <f>CHOOSE( CONTROL!$C$32, 16.1633, 16.1622) * CHOOSE( CONTROL!$C$15, $D$11, 100%, $F$11)</f>
        <v>16.1633</v>
      </c>
      <c r="H569" s="4">
        <f>CHOOSE( CONTROL!$C$32, 17.0653, 17.0642) * CHOOSE(CONTROL!$C$15, $D$11, 100%, $F$11)</f>
        <v>17.065300000000001</v>
      </c>
      <c r="I569" s="8">
        <f>CHOOSE( CONTROL!$C$32, 16.0168, 16.0157) * CHOOSE(CONTROL!$C$15, $D$11, 100%, $F$11)</f>
        <v>16.0168</v>
      </c>
      <c r="J569" s="4">
        <f>CHOOSE( CONTROL!$C$32, 15.8615, 15.8605) * CHOOSE(CONTROL!$C$15, $D$11, 100%, $F$11)</f>
        <v>15.861499999999999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58499</v>
      </c>
      <c r="B570" s="8">
        <f>CHOOSE( CONTROL!$C$32, 15.2962, 15.2951) * CHOOSE(CONTROL!$C$15, $D$11, 100%, $F$11)</f>
        <v>15.296200000000001</v>
      </c>
      <c r="C570" s="8">
        <f>CHOOSE( CONTROL!$C$32, 15.3012, 15.3002) * CHOOSE(CONTROL!$C$15, $D$11, 100%, $F$11)</f>
        <v>15.3012</v>
      </c>
      <c r="D570" s="8">
        <f>CHOOSE( CONTROL!$C$32, 15.2798, 15.2787) * CHOOSE( CONTROL!$C$15, $D$11, 100%, $F$11)</f>
        <v>15.2798</v>
      </c>
      <c r="E570" s="12">
        <f>CHOOSE( CONTROL!$C$32, 15.2871, 15.286) * CHOOSE( CONTROL!$C$15, $D$11, 100%, $F$11)</f>
        <v>15.287100000000001</v>
      </c>
      <c r="F570" s="4">
        <f>CHOOSE( CONTROL!$C$32, 15.9614, 15.9604) * CHOOSE(CONTROL!$C$15, $D$11, 100%, $F$11)</f>
        <v>15.961399999999999</v>
      </c>
      <c r="G570" s="8">
        <f>CHOOSE( CONTROL!$C$32, 15.1191, 15.118) * CHOOSE( CONTROL!$C$15, $D$11, 100%, $F$11)</f>
        <v>15.1191</v>
      </c>
      <c r="H570" s="4">
        <f>CHOOSE( CONTROL!$C$32, 16.0212, 16.0201) * CHOOSE(CONTROL!$C$15, $D$11, 100%, $F$11)</f>
        <v>16.0212</v>
      </c>
      <c r="I570" s="8">
        <f>CHOOSE( CONTROL!$C$32, 14.9905, 14.9895) * CHOOSE(CONTROL!$C$15, $D$11, 100%, $F$11)</f>
        <v>14.990500000000001</v>
      </c>
      <c r="J570" s="4">
        <f>CHOOSE( CONTROL!$C$32, 14.8362, 14.8351) * CHOOSE(CONTROL!$C$15, $D$11, 100%, $F$11)</f>
        <v>14.8362</v>
      </c>
      <c r="K570" s="4"/>
      <c r="L570" s="9">
        <v>27.415299999999998</v>
      </c>
      <c r="M570" s="9">
        <v>11.285299999999999</v>
      </c>
      <c r="N570" s="9">
        <v>4.6254999999999997</v>
      </c>
      <c r="O570" s="9">
        <v>0.34989999999999999</v>
      </c>
      <c r="P570" s="9">
        <v>1.2093</v>
      </c>
      <c r="Q570" s="9">
        <v>18.417899999999999</v>
      </c>
      <c r="R570" s="9"/>
      <c r="S570" s="11"/>
    </row>
    <row r="571" spans="1:19" ht="15.75">
      <c r="A571" s="13">
        <v>58531</v>
      </c>
      <c r="B571" s="8">
        <f>CHOOSE( CONTROL!$C$32, 14.9708, 14.9697) * CHOOSE(CONTROL!$C$15, $D$11, 100%, $F$11)</f>
        <v>14.970800000000001</v>
      </c>
      <c r="C571" s="8">
        <f>CHOOSE( CONTROL!$C$32, 14.9758, 14.9747) * CHOOSE(CONTROL!$C$15, $D$11, 100%, $F$11)</f>
        <v>14.9758</v>
      </c>
      <c r="D571" s="8">
        <f>CHOOSE( CONTROL!$C$32, 14.9538, 14.9527) * CHOOSE( CONTROL!$C$15, $D$11, 100%, $F$11)</f>
        <v>14.953799999999999</v>
      </c>
      <c r="E571" s="12">
        <f>CHOOSE( CONTROL!$C$32, 14.9613, 14.9602) * CHOOSE( CONTROL!$C$15, $D$11, 100%, $F$11)</f>
        <v>14.9613</v>
      </c>
      <c r="F571" s="4">
        <f>CHOOSE( CONTROL!$C$32, 15.636, 15.635) * CHOOSE(CONTROL!$C$15, $D$11, 100%, $F$11)</f>
        <v>15.635999999999999</v>
      </c>
      <c r="G571" s="8">
        <f>CHOOSE( CONTROL!$C$32, 14.797, 14.7959) * CHOOSE( CONTROL!$C$15, $D$11, 100%, $F$11)</f>
        <v>14.797000000000001</v>
      </c>
      <c r="H571" s="4">
        <f>CHOOSE( CONTROL!$C$32, 15.6996, 15.6985) * CHOOSE(CONTROL!$C$15, $D$11, 100%, $F$11)</f>
        <v>15.6996</v>
      </c>
      <c r="I571" s="8">
        <f>CHOOSE( CONTROL!$C$32, 14.6726, 14.6715) * CHOOSE(CONTROL!$C$15, $D$11, 100%, $F$11)</f>
        <v>14.672599999999999</v>
      </c>
      <c r="J571" s="4">
        <f>CHOOSE( CONTROL!$C$32, 14.5204, 14.5193) * CHOOSE(CONTROL!$C$15, $D$11, 100%, $F$11)</f>
        <v>14.5204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58561</v>
      </c>
      <c r="B572" s="8">
        <f>CHOOSE( CONTROL!$C$32, 15.1989, 15.1978) * CHOOSE(CONTROL!$C$15, $D$11, 100%, $F$11)</f>
        <v>15.1989</v>
      </c>
      <c r="C572" s="8">
        <f>CHOOSE( CONTROL!$C$32, 15.2034, 15.2023) * CHOOSE(CONTROL!$C$15, $D$11, 100%, $F$11)</f>
        <v>15.2034</v>
      </c>
      <c r="D572" s="8">
        <f>CHOOSE( CONTROL!$C$32, 15.2063, 15.2052) * CHOOSE( CONTROL!$C$15, $D$11, 100%, $F$11)</f>
        <v>15.206300000000001</v>
      </c>
      <c r="E572" s="12">
        <f>CHOOSE( CONTROL!$C$32, 15.2048, 15.2037) * CHOOSE( CONTROL!$C$15, $D$11, 100%, $F$11)</f>
        <v>15.204800000000001</v>
      </c>
      <c r="F572" s="4">
        <f>CHOOSE( CONTROL!$C$32, 15.9072, 15.9061) * CHOOSE(CONTROL!$C$15, $D$11, 100%, $F$11)</f>
        <v>15.9072</v>
      </c>
      <c r="G572" s="8">
        <f>CHOOSE( CONTROL!$C$32, 15.0322, 15.0311) * CHOOSE( CONTROL!$C$15, $D$11, 100%, $F$11)</f>
        <v>15.0322</v>
      </c>
      <c r="H572" s="4">
        <f>CHOOSE( CONTROL!$C$32, 15.9676, 15.9665) * CHOOSE(CONTROL!$C$15, $D$11, 100%, $F$11)</f>
        <v>15.967599999999999</v>
      </c>
      <c r="I572" s="8">
        <f>CHOOSE( CONTROL!$C$32, 14.8656, 14.8646) * CHOOSE(CONTROL!$C$15, $D$11, 100%, $F$11)</f>
        <v>14.865600000000001</v>
      </c>
      <c r="J572" s="4">
        <f>CHOOSE( CONTROL!$C$32, 14.741, 14.74) * CHOOSE(CONTROL!$C$15, $D$11, 100%, $F$11)</f>
        <v>14.741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1.2509999999999999</v>
      </c>
      <c r="Q572" s="9">
        <v>19.053000000000001</v>
      </c>
      <c r="R572" s="9"/>
      <c r="S572" s="11"/>
    </row>
    <row r="573" spans="1:19" ht="15.75">
      <c r="A573" s="13">
        <v>58592</v>
      </c>
      <c r="B573" s="8">
        <f>CHOOSE( CONTROL!$C$32, 15.6055, 15.6039) * CHOOSE(CONTROL!$C$15, $D$11, 100%, $F$11)</f>
        <v>15.605499999999999</v>
      </c>
      <c r="C573" s="8">
        <f>CHOOSE( CONTROL!$C$32, 15.6135, 15.6119) * CHOOSE(CONTROL!$C$15, $D$11, 100%, $F$11)</f>
        <v>15.6135</v>
      </c>
      <c r="D573" s="8">
        <f>CHOOSE( CONTROL!$C$32, 15.6103, 15.6086) * CHOOSE( CONTROL!$C$15, $D$11, 100%, $F$11)</f>
        <v>15.610300000000001</v>
      </c>
      <c r="E573" s="12">
        <f>CHOOSE( CONTROL!$C$32, 15.6102, 15.6086) * CHOOSE( CONTROL!$C$15, $D$11, 100%, $F$11)</f>
        <v>15.610200000000001</v>
      </c>
      <c r="F573" s="4">
        <f>CHOOSE( CONTROL!$C$32, 16.3125, 16.3108) * CHOOSE(CONTROL!$C$15, $D$11, 100%, $F$11)</f>
        <v>16.3125</v>
      </c>
      <c r="G573" s="8">
        <f>CHOOSE( CONTROL!$C$32, 15.4326, 15.431) * CHOOSE( CONTROL!$C$15, $D$11, 100%, $F$11)</f>
        <v>15.432600000000001</v>
      </c>
      <c r="H573" s="4">
        <f>CHOOSE( CONTROL!$C$32, 16.3681, 16.3665) * CHOOSE(CONTROL!$C$15, $D$11, 100%, $F$11)</f>
        <v>16.368099999999998</v>
      </c>
      <c r="I573" s="8">
        <f>CHOOSE( CONTROL!$C$32, 15.2584, 15.2568) * CHOOSE(CONTROL!$C$15, $D$11, 100%, $F$11)</f>
        <v>15.2584</v>
      </c>
      <c r="J573" s="4">
        <f>CHOOSE( CONTROL!$C$32, 15.1344, 15.1327) * CHOOSE(CONTROL!$C$15, $D$11, 100%, $F$11)</f>
        <v>15.134399999999999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1.2927</v>
      </c>
      <c r="Q573" s="9">
        <v>19.688099999999999</v>
      </c>
      <c r="R573" s="9"/>
      <c r="S573" s="11"/>
    </row>
    <row r="574" spans="1:19" ht="15.75">
      <c r="A574" s="13">
        <v>58622</v>
      </c>
      <c r="B574" s="8">
        <f>CHOOSE( CONTROL!$C$32, 15.3548, 15.3532) * CHOOSE(CONTROL!$C$15, $D$11, 100%, $F$11)</f>
        <v>15.354799999999999</v>
      </c>
      <c r="C574" s="8">
        <f>CHOOSE( CONTROL!$C$32, 15.3628, 15.3612) * CHOOSE(CONTROL!$C$15, $D$11, 100%, $F$11)</f>
        <v>15.3628</v>
      </c>
      <c r="D574" s="8">
        <f>CHOOSE( CONTROL!$C$32, 15.3598, 15.3581) * CHOOSE( CONTROL!$C$15, $D$11, 100%, $F$11)</f>
        <v>15.3598</v>
      </c>
      <c r="E574" s="12">
        <f>CHOOSE( CONTROL!$C$32, 15.3597, 15.358) * CHOOSE( CONTROL!$C$15, $D$11, 100%, $F$11)</f>
        <v>15.3597</v>
      </c>
      <c r="F574" s="4">
        <f>CHOOSE( CONTROL!$C$32, 16.0618, 16.0601) * CHOOSE(CONTROL!$C$15, $D$11, 100%, $F$11)</f>
        <v>16.061800000000002</v>
      </c>
      <c r="G574" s="8">
        <f>CHOOSE( CONTROL!$C$32, 15.185, 15.1834) * CHOOSE( CONTROL!$C$15, $D$11, 100%, $F$11)</f>
        <v>15.185</v>
      </c>
      <c r="H574" s="4">
        <f>CHOOSE( CONTROL!$C$32, 16.1203, 16.1187) * CHOOSE(CONTROL!$C$15, $D$11, 100%, $F$11)</f>
        <v>16.1203</v>
      </c>
      <c r="I574" s="8">
        <f>CHOOSE( CONTROL!$C$32, 15.0158, 15.0141) * CHOOSE(CONTROL!$C$15, $D$11, 100%, $F$11)</f>
        <v>15.0158</v>
      </c>
      <c r="J574" s="4">
        <f>CHOOSE( CONTROL!$C$32, 14.8911, 14.8894) * CHOOSE(CONTROL!$C$15, $D$11, 100%, $F$11)</f>
        <v>14.8911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1.2509999999999999</v>
      </c>
      <c r="Q574" s="9">
        <v>19.053000000000001</v>
      </c>
      <c r="R574" s="9"/>
      <c r="S574" s="11"/>
    </row>
    <row r="575" spans="1:19" ht="15.75">
      <c r="A575" s="13">
        <v>58653</v>
      </c>
      <c r="B575" s="8">
        <f>CHOOSE( CONTROL!$C$32, 16.015, 16.0134) * CHOOSE(CONTROL!$C$15, $D$11, 100%, $F$11)</f>
        <v>16.015000000000001</v>
      </c>
      <c r="C575" s="8">
        <f>CHOOSE( CONTROL!$C$32, 16.023, 16.0213) * CHOOSE(CONTROL!$C$15, $D$11, 100%, $F$11)</f>
        <v>16.023</v>
      </c>
      <c r="D575" s="8">
        <f>CHOOSE( CONTROL!$C$32, 16.0202, 16.0185) * CHOOSE( CONTROL!$C$15, $D$11, 100%, $F$11)</f>
        <v>16.020199999999999</v>
      </c>
      <c r="E575" s="12">
        <f>CHOOSE( CONTROL!$C$32, 16.02, 16.0183) * CHOOSE( CONTROL!$C$15, $D$11, 100%, $F$11)</f>
        <v>16.02</v>
      </c>
      <c r="F575" s="4">
        <f>CHOOSE( CONTROL!$C$32, 16.722, 16.7203) * CHOOSE(CONTROL!$C$15, $D$11, 100%, $F$11)</f>
        <v>16.722000000000001</v>
      </c>
      <c r="G575" s="8">
        <f>CHOOSE( CONTROL!$C$32, 15.8376, 15.836) * CHOOSE( CONTROL!$C$15, $D$11, 100%, $F$11)</f>
        <v>15.8376</v>
      </c>
      <c r="H575" s="4">
        <f>CHOOSE( CONTROL!$C$32, 16.7728, 16.7711) * CHOOSE(CONTROL!$C$15, $D$11, 100%, $F$11)</f>
        <v>16.7728</v>
      </c>
      <c r="I575" s="8">
        <f>CHOOSE( CONTROL!$C$32, 15.6576, 15.656) * CHOOSE(CONTROL!$C$15, $D$11, 100%, $F$11)</f>
        <v>15.6576</v>
      </c>
      <c r="J575" s="4">
        <f>CHOOSE( CONTROL!$C$32, 15.5318, 15.5301) * CHOOSE(CONTROL!$C$15, $D$11, 100%, $F$11)</f>
        <v>15.5318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1.2927</v>
      </c>
      <c r="Q575" s="9">
        <v>19.688099999999999</v>
      </c>
      <c r="R575" s="9"/>
      <c r="S575" s="11"/>
    </row>
    <row r="576" spans="1:19" ht="15.75">
      <c r="A576" s="13">
        <v>58684</v>
      </c>
      <c r="B576" s="8">
        <f>CHOOSE( CONTROL!$C$32, 14.7798, 14.7781) * CHOOSE(CONTROL!$C$15, $D$11, 100%, $F$11)</f>
        <v>14.7798</v>
      </c>
      <c r="C576" s="8">
        <f>CHOOSE( CONTROL!$C$32, 14.7877, 14.7861) * CHOOSE(CONTROL!$C$15, $D$11, 100%, $F$11)</f>
        <v>14.787699999999999</v>
      </c>
      <c r="D576" s="8">
        <f>CHOOSE( CONTROL!$C$32, 14.785, 14.7834) * CHOOSE( CONTROL!$C$15, $D$11, 100%, $F$11)</f>
        <v>14.785</v>
      </c>
      <c r="E576" s="12">
        <f>CHOOSE( CONTROL!$C$32, 14.7848, 14.7832) * CHOOSE( CONTROL!$C$15, $D$11, 100%, $F$11)</f>
        <v>14.784800000000001</v>
      </c>
      <c r="F576" s="4">
        <f>CHOOSE( CONTROL!$C$32, 15.4867, 15.485) * CHOOSE(CONTROL!$C$15, $D$11, 100%, $F$11)</f>
        <v>15.486700000000001</v>
      </c>
      <c r="G576" s="8">
        <f>CHOOSE( CONTROL!$C$32, 14.6169, 14.6153) * CHOOSE( CONTROL!$C$15, $D$11, 100%, $F$11)</f>
        <v>14.616899999999999</v>
      </c>
      <c r="H576" s="4">
        <f>CHOOSE( CONTROL!$C$32, 15.552, 15.5503) * CHOOSE(CONTROL!$C$15, $D$11, 100%, $F$11)</f>
        <v>15.552</v>
      </c>
      <c r="I576" s="8">
        <f>CHOOSE( CONTROL!$C$32, 14.4585, 14.4569) * CHOOSE(CONTROL!$C$15, $D$11, 100%, $F$11)</f>
        <v>14.458500000000001</v>
      </c>
      <c r="J576" s="4">
        <f>CHOOSE( CONTROL!$C$32, 14.3329, 14.3313) * CHOOSE(CONTROL!$C$15, $D$11, 100%, $F$11)</f>
        <v>14.3329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1.2927</v>
      </c>
      <c r="Q576" s="9">
        <v>19.688099999999999</v>
      </c>
      <c r="R576" s="9"/>
      <c r="S576" s="11"/>
    </row>
    <row r="577" spans="1:19" ht="15.75">
      <c r="A577" s="13">
        <v>58714</v>
      </c>
      <c r="B577" s="8">
        <f>CHOOSE( CONTROL!$C$32, 14.4704, 14.4688) * CHOOSE(CONTROL!$C$15, $D$11, 100%, $F$11)</f>
        <v>14.4704</v>
      </c>
      <c r="C577" s="8">
        <f>CHOOSE( CONTROL!$C$32, 14.4784, 14.4768) * CHOOSE(CONTROL!$C$15, $D$11, 100%, $F$11)</f>
        <v>14.478400000000001</v>
      </c>
      <c r="D577" s="8">
        <f>CHOOSE( CONTROL!$C$32, 14.4757, 14.474) * CHOOSE( CONTROL!$C$15, $D$11, 100%, $F$11)</f>
        <v>14.4757</v>
      </c>
      <c r="E577" s="12">
        <f>CHOOSE( CONTROL!$C$32, 14.4755, 14.4738) * CHOOSE( CONTROL!$C$15, $D$11, 100%, $F$11)</f>
        <v>14.4755</v>
      </c>
      <c r="F577" s="4">
        <f>CHOOSE( CONTROL!$C$32, 15.1774, 15.1757) * CHOOSE(CONTROL!$C$15, $D$11, 100%, $F$11)</f>
        <v>15.1774</v>
      </c>
      <c r="G577" s="8">
        <f>CHOOSE( CONTROL!$C$32, 14.3112, 14.3096) * CHOOSE( CONTROL!$C$15, $D$11, 100%, $F$11)</f>
        <v>14.311199999999999</v>
      </c>
      <c r="H577" s="4">
        <f>CHOOSE( CONTROL!$C$32, 15.2463, 15.2446) * CHOOSE(CONTROL!$C$15, $D$11, 100%, $F$11)</f>
        <v>15.2463</v>
      </c>
      <c r="I577" s="8">
        <f>CHOOSE( CONTROL!$C$32, 14.158, 14.1564) * CHOOSE(CONTROL!$C$15, $D$11, 100%, $F$11)</f>
        <v>14.157999999999999</v>
      </c>
      <c r="J577" s="4">
        <f>CHOOSE( CONTROL!$C$32, 14.0327, 14.0311) * CHOOSE(CONTROL!$C$15, $D$11, 100%, $F$11)</f>
        <v>14.0327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1.2509999999999999</v>
      </c>
      <c r="Q577" s="9">
        <v>19.053000000000001</v>
      </c>
      <c r="R577" s="9"/>
      <c r="S577" s="11"/>
    </row>
    <row r="578" spans="1:19" ht="15.75">
      <c r="A578" s="13">
        <v>58745</v>
      </c>
      <c r="B578" s="8">
        <f>CHOOSE( CONTROL!$C$32, 15.1104, 15.1093) * CHOOSE(CONTROL!$C$15, $D$11, 100%, $F$11)</f>
        <v>15.1104</v>
      </c>
      <c r="C578" s="8">
        <f>CHOOSE( CONTROL!$C$32, 15.1157, 15.1146) * CHOOSE(CONTROL!$C$15, $D$11, 100%, $F$11)</f>
        <v>15.1157</v>
      </c>
      <c r="D578" s="8">
        <f>CHOOSE( CONTROL!$C$32, 15.1186, 15.1176) * CHOOSE( CONTROL!$C$15, $D$11, 100%, $F$11)</f>
        <v>15.118600000000001</v>
      </c>
      <c r="E578" s="12">
        <f>CHOOSE( CONTROL!$C$32, 15.1171, 15.116) * CHOOSE( CONTROL!$C$15, $D$11, 100%, $F$11)</f>
        <v>15.117100000000001</v>
      </c>
      <c r="F578" s="4">
        <f>CHOOSE( CONTROL!$C$32, 15.8191, 15.818) * CHOOSE(CONTROL!$C$15, $D$11, 100%, $F$11)</f>
        <v>15.819100000000001</v>
      </c>
      <c r="G578" s="8">
        <f>CHOOSE( CONTROL!$C$32, 14.9455, 14.9445) * CHOOSE( CONTROL!$C$15, $D$11, 100%, $F$11)</f>
        <v>14.945499999999999</v>
      </c>
      <c r="H578" s="4">
        <f>CHOOSE( CONTROL!$C$32, 15.8805, 15.8794) * CHOOSE(CONTROL!$C$15, $D$11, 100%, $F$11)</f>
        <v>15.8805</v>
      </c>
      <c r="I578" s="8">
        <f>CHOOSE( CONTROL!$C$32, 14.7819, 14.7808) * CHOOSE(CONTROL!$C$15, $D$11, 100%, $F$11)</f>
        <v>14.7819</v>
      </c>
      <c r="J578" s="4">
        <f>CHOOSE( CONTROL!$C$32, 14.6555, 14.6544) * CHOOSE(CONTROL!$C$15, $D$11, 100%, $F$11)</f>
        <v>14.6555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1.2927</v>
      </c>
      <c r="Q578" s="9">
        <v>19.688099999999999</v>
      </c>
      <c r="R578" s="9"/>
      <c r="S578" s="11"/>
    </row>
    <row r="579" spans="1:19" ht="15.75">
      <c r="A579" s="13">
        <v>58775</v>
      </c>
      <c r="B579" s="8">
        <f>CHOOSE( CONTROL!$C$32, 16.2955, 16.2944) * CHOOSE(CONTROL!$C$15, $D$11, 100%, $F$11)</f>
        <v>16.295500000000001</v>
      </c>
      <c r="C579" s="8">
        <f>CHOOSE( CONTROL!$C$32, 16.3006, 16.2995) * CHOOSE(CONTROL!$C$15, $D$11, 100%, $F$11)</f>
        <v>16.300599999999999</v>
      </c>
      <c r="D579" s="8">
        <f>CHOOSE( CONTROL!$C$32, 16.2827, 16.2816) * CHOOSE( CONTROL!$C$15, $D$11, 100%, $F$11)</f>
        <v>16.282699999999998</v>
      </c>
      <c r="E579" s="12">
        <f>CHOOSE( CONTROL!$C$32, 16.2887, 16.2876) * CHOOSE( CONTROL!$C$15, $D$11, 100%, $F$11)</f>
        <v>16.288699999999999</v>
      </c>
      <c r="F579" s="4">
        <f>CHOOSE( CONTROL!$C$32, 16.9608, 16.9597) * CHOOSE(CONTROL!$C$15, $D$11, 100%, $F$11)</f>
        <v>16.960799999999999</v>
      </c>
      <c r="G579" s="8">
        <f>CHOOSE( CONTROL!$C$32, 16.1162, 16.1151) * CHOOSE( CONTROL!$C$15, $D$11, 100%, $F$11)</f>
        <v>16.116199999999999</v>
      </c>
      <c r="H579" s="4">
        <f>CHOOSE( CONTROL!$C$32, 17.0088, 17.0077) * CHOOSE(CONTROL!$C$15, $D$11, 100%, $F$11)</f>
        <v>17.008800000000001</v>
      </c>
      <c r="I579" s="8">
        <f>CHOOSE( CONTROL!$C$32, 15.9947, 15.9937) * CHOOSE(CONTROL!$C$15, $D$11, 100%, $F$11)</f>
        <v>15.9947</v>
      </c>
      <c r="J579" s="4">
        <f>CHOOSE( CONTROL!$C$32, 15.806, 15.805) * CHOOSE(CONTROL!$C$15, $D$11, 100%, $F$11)</f>
        <v>15.805999999999999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58806</v>
      </c>
      <c r="B580" s="8">
        <f>CHOOSE( CONTROL!$C$32, 16.2659, 16.2648) * CHOOSE(CONTROL!$C$15, $D$11, 100%, $F$11)</f>
        <v>16.265899999999998</v>
      </c>
      <c r="C580" s="8">
        <f>CHOOSE( CONTROL!$C$32, 16.2709, 16.2698) * CHOOSE(CONTROL!$C$15, $D$11, 100%, $F$11)</f>
        <v>16.270900000000001</v>
      </c>
      <c r="D580" s="8">
        <f>CHOOSE( CONTROL!$C$32, 16.2545, 16.2535) * CHOOSE( CONTROL!$C$15, $D$11, 100%, $F$11)</f>
        <v>16.2545</v>
      </c>
      <c r="E580" s="12">
        <f>CHOOSE( CONTROL!$C$32, 16.26, 16.2589) * CHOOSE( CONTROL!$C$15, $D$11, 100%, $F$11)</f>
        <v>16.260000000000002</v>
      </c>
      <c r="F580" s="4">
        <f>CHOOSE( CONTROL!$C$32, 16.9311, 16.9301) * CHOOSE(CONTROL!$C$15, $D$11, 100%, $F$11)</f>
        <v>16.931100000000001</v>
      </c>
      <c r="G580" s="8">
        <f>CHOOSE( CONTROL!$C$32, 16.088, 16.0869) * CHOOSE( CONTROL!$C$15, $D$11, 100%, $F$11)</f>
        <v>16.088000000000001</v>
      </c>
      <c r="H580" s="4">
        <f>CHOOSE( CONTROL!$C$32, 16.9795, 16.9784) * CHOOSE(CONTROL!$C$15, $D$11, 100%, $F$11)</f>
        <v>16.979500000000002</v>
      </c>
      <c r="I580" s="8">
        <f>CHOOSE( CONTROL!$C$32, 15.9704, 15.9694) * CHOOSE(CONTROL!$C$15, $D$11, 100%, $F$11)</f>
        <v>15.9704</v>
      </c>
      <c r="J580" s="4">
        <f>CHOOSE( CONTROL!$C$32, 15.7773, 15.7762) * CHOOSE(CONTROL!$C$15, $D$11, 100%, $F$11)</f>
        <v>15.7773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58837</v>
      </c>
      <c r="B581" s="8">
        <f>CHOOSE( CONTROL!$C$32, 16.7453, 16.7443) * CHOOSE(CONTROL!$C$15, $D$11, 100%, $F$11)</f>
        <v>16.7453</v>
      </c>
      <c r="C581" s="8">
        <f>CHOOSE( CONTROL!$C$32, 16.7504, 16.7493) * CHOOSE(CONTROL!$C$15, $D$11, 100%, $F$11)</f>
        <v>16.750399999999999</v>
      </c>
      <c r="D581" s="8">
        <f>CHOOSE( CONTROL!$C$32, 16.7291, 16.7281) * CHOOSE( CONTROL!$C$15, $D$11, 100%, $F$11)</f>
        <v>16.729099999999999</v>
      </c>
      <c r="E581" s="12">
        <f>CHOOSE( CONTROL!$C$32, 16.7363, 16.7353) * CHOOSE( CONTROL!$C$15, $D$11, 100%, $F$11)</f>
        <v>16.7363</v>
      </c>
      <c r="F581" s="4">
        <f>CHOOSE( CONTROL!$C$32, 17.4106, 17.4095) * CHOOSE(CONTROL!$C$15, $D$11, 100%, $F$11)</f>
        <v>17.410599999999999</v>
      </c>
      <c r="G581" s="8">
        <f>CHOOSE( CONTROL!$C$32, 16.5514, 16.5503) * CHOOSE( CONTROL!$C$15, $D$11, 100%, $F$11)</f>
        <v>16.551400000000001</v>
      </c>
      <c r="H581" s="4">
        <f>CHOOSE( CONTROL!$C$32, 17.4534, 17.4523) * CHOOSE(CONTROL!$C$15, $D$11, 100%, $F$11)</f>
        <v>17.453399999999998</v>
      </c>
      <c r="I581" s="8">
        <f>CHOOSE( CONTROL!$C$32, 16.3981, 16.397) * CHOOSE(CONTROL!$C$15, $D$11, 100%, $F$11)</f>
        <v>16.398099999999999</v>
      </c>
      <c r="J581" s="4">
        <f>CHOOSE( CONTROL!$C$32, 16.2426, 16.2416) * CHOOSE(CONTROL!$C$15, $D$11, 100%, $F$11)</f>
        <v>16.242599999999999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58865</v>
      </c>
      <c r="B582" s="8">
        <f>CHOOSE( CONTROL!$C$32, 15.6634, 15.6624) * CHOOSE(CONTROL!$C$15, $D$11, 100%, $F$11)</f>
        <v>15.663399999999999</v>
      </c>
      <c r="C582" s="8">
        <f>CHOOSE( CONTROL!$C$32, 15.6685, 15.6674) * CHOOSE(CONTROL!$C$15, $D$11, 100%, $F$11)</f>
        <v>15.6685</v>
      </c>
      <c r="D582" s="8">
        <f>CHOOSE( CONTROL!$C$32, 15.6471, 15.646) * CHOOSE( CONTROL!$C$15, $D$11, 100%, $F$11)</f>
        <v>15.6471</v>
      </c>
      <c r="E582" s="12">
        <f>CHOOSE( CONTROL!$C$32, 15.6544, 15.6533) * CHOOSE( CONTROL!$C$15, $D$11, 100%, $F$11)</f>
        <v>15.654400000000001</v>
      </c>
      <c r="F582" s="4">
        <f>CHOOSE( CONTROL!$C$32, 16.3287, 16.3276) * CHOOSE(CONTROL!$C$15, $D$11, 100%, $F$11)</f>
        <v>16.328700000000001</v>
      </c>
      <c r="G582" s="8">
        <f>CHOOSE( CONTROL!$C$32, 15.482, 15.481) * CHOOSE( CONTROL!$C$15, $D$11, 100%, $F$11)</f>
        <v>15.481999999999999</v>
      </c>
      <c r="H582" s="4">
        <f>CHOOSE( CONTROL!$C$32, 16.3841, 16.3831) * CHOOSE(CONTROL!$C$15, $D$11, 100%, $F$11)</f>
        <v>16.3841</v>
      </c>
      <c r="I582" s="8">
        <f>CHOOSE( CONTROL!$C$32, 15.3471, 15.3461) * CHOOSE(CONTROL!$C$15, $D$11, 100%, $F$11)</f>
        <v>15.347099999999999</v>
      </c>
      <c r="J582" s="4">
        <f>CHOOSE( CONTROL!$C$32, 15.1926, 15.1916) * CHOOSE(CONTROL!$C$15, $D$11, 100%, $F$11)</f>
        <v>15.192600000000001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58893</v>
      </c>
      <c r="B583" s="8">
        <f>CHOOSE( CONTROL!$C$32, 15.3302, 15.3291) * CHOOSE(CONTROL!$C$15, $D$11, 100%, $F$11)</f>
        <v>15.3302</v>
      </c>
      <c r="C583" s="8">
        <f>CHOOSE( CONTROL!$C$32, 15.3353, 15.3342) * CHOOSE(CONTROL!$C$15, $D$11, 100%, $F$11)</f>
        <v>15.3353</v>
      </c>
      <c r="D583" s="8">
        <f>CHOOSE( CONTROL!$C$32, 15.3132, 15.3122) * CHOOSE( CONTROL!$C$15, $D$11, 100%, $F$11)</f>
        <v>15.3132</v>
      </c>
      <c r="E583" s="12">
        <f>CHOOSE( CONTROL!$C$32, 15.3207, 15.3197) * CHOOSE( CONTROL!$C$15, $D$11, 100%, $F$11)</f>
        <v>15.3207</v>
      </c>
      <c r="F583" s="4">
        <f>CHOOSE( CONTROL!$C$32, 15.9955, 15.9944) * CHOOSE(CONTROL!$C$15, $D$11, 100%, $F$11)</f>
        <v>15.9955</v>
      </c>
      <c r="G583" s="8">
        <f>CHOOSE( CONTROL!$C$32, 15.1523, 15.1512) * CHOOSE( CONTROL!$C$15, $D$11, 100%, $F$11)</f>
        <v>15.1523</v>
      </c>
      <c r="H583" s="4">
        <f>CHOOSE( CONTROL!$C$32, 16.0548, 16.0538) * CHOOSE(CONTROL!$C$15, $D$11, 100%, $F$11)</f>
        <v>16.0548</v>
      </c>
      <c r="I583" s="8">
        <f>CHOOSE( CONTROL!$C$32, 15.0216, 15.0206) * CHOOSE(CONTROL!$C$15, $D$11, 100%, $F$11)</f>
        <v>15.021599999999999</v>
      </c>
      <c r="J583" s="4">
        <f>CHOOSE( CONTROL!$C$32, 14.8692, 14.8682) * CHOOSE(CONTROL!$C$15, $D$11, 100%, $F$11)</f>
        <v>14.869199999999999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58926</v>
      </c>
      <c r="B584" s="8">
        <f>CHOOSE( CONTROL!$C$32, 15.5638, 15.5628) * CHOOSE(CONTROL!$C$15, $D$11, 100%, $F$11)</f>
        <v>15.563800000000001</v>
      </c>
      <c r="C584" s="8">
        <f>CHOOSE( CONTROL!$C$32, 15.5683, 15.5673) * CHOOSE(CONTROL!$C$15, $D$11, 100%, $F$11)</f>
        <v>15.568300000000001</v>
      </c>
      <c r="D584" s="8">
        <f>CHOOSE( CONTROL!$C$32, 15.5712, 15.5701) * CHOOSE( CONTROL!$C$15, $D$11, 100%, $F$11)</f>
        <v>15.571199999999999</v>
      </c>
      <c r="E584" s="12">
        <f>CHOOSE( CONTROL!$C$32, 15.5697, 15.5687) * CHOOSE( CONTROL!$C$15, $D$11, 100%, $F$11)</f>
        <v>15.569699999999999</v>
      </c>
      <c r="F584" s="4">
        <f>CHOOSE( CONTROL!$C$32, 16.2721, 16.2711) * CHOOSE(CONTROL!$C$15, $D$11, 100%, $F$11)</f>
        <v>16.272099999999998</v>
      </c>
      <c r="G584" s="8">
        <f>CHOOSE( CONTROL!$C$32, 15.3929, 15.3918) * CHOOSE( CONTROL!$C$15, $D$11, 100%, $F$11)</f>
        <v>15.392899999999999</v>
      </c>
      <c r="H584" s="4">
        <f>CHOOSE( CONTROL!$C$32, 16.3282, 16.3272) * CHOOSE(CONTROL!$C$15, $D$11, 100%, $F$11)</f>
        <v>16.328199999999999</v>
      </c>
      <c r="I584" s="8">
        <f>CHOOSE( CONTROL!$C$32, 15.22, 15.2189) * CHOOSE(CONTROL!$C$15, $D$11, 100%, $F$11)</f>
        <v>15.22</v>
      </c>
      <c r="J584" s="4">
        <f>CHOOSE( CONTROL!$C$32, 15.0952, 15.0942) * CHOOSE(CONTROL!$C$15, $D$11, 100%, $F$11)</f>
        <v>15.0952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1.2509999999999999</v>
      </c>
      <c r="Q584" s="9">
        <v>19.053000000000001</v>
      </c>
      <c r="R584" s="9"/>
      <c r="S584" s="11"/>
    </row>
    <row r="585" spans="1:19" ht="15.75">
      <c r="A585" s="13">
        <v>58957</v>
      </c>
      <c r="B585" s="8">
        <f>CHOOSE( CONTROL!$C$32, 15.9802, 15.9785) * CHOOSE(CONTROL!$C$15, $D$11, 100%, $F$11)</f>
        <v>15.9802</v>
      </c>
      <c r="C585" s="8">
        <f>CHOOSE( CONTROL!$C$32, 15.9882, 15.9865) * CHOOSE(CONTROL!$C$15, $D$11, 100%, $F$11)</f>
        <v>15.988200000000001</v>
      </c>
      <c r="D585" s="8">
        <f>CHOOSE( CONTROL!$C$32, 15.9849, 15.9833) * CHOOSE( CONTROL!$C$15, $D$11, 100%, $F$11)</f>
        <v>15.9849</v>
      </c>
      <c r="E585" s="12">
        <f>CHOOSE( CONTROL!$C$32, 15.9849, 15.9832) * CHOOSE( CONTROL!$C$15, $D$11, 100%, $F$11)</f>
        <v>15.9849</v>
      </c>
      <c r="F585" s="4">
        <f>CHOOSE( CONTROL!$C$32, 16.6871, 16.6855) * CHOOSE(CONTROL!$C$15, $D$11, 100%, $F$11)</f>
        <v>16.687100000000001</v>
      </c>
      <c r="G585" s="8">
        <f>CHOOSE( CONTROL!$C$32, 15.8029, 15.8012) * CHOOSE( CONTROL!$C$15, $D$11, 100%, $F$11)</f>
        <v>15.802899999999999</v>
      </c>
      <c r="H585" s="4">
        <f>CHOOSE( CONTROL!$C$32, 16.7384, 16.7367) * CHOOSE(CONTROL!$C$15, $D$11, 100%, $F$11)</f>
        <v>16.738399999999999</v>
      </c>
      <c r="I585" s="8">
        <f>CHOOSE( CONTROL!$C$32, 15.6222, 15.6206) * CHOOSE(CONTROL!$C$15, $D$11, 100%, $F$11)</f>
        <v>15.622199999999999</v>
      </c>
      <c r="J585" s="4">
        <f>CHOOSE( CONTROL!$C$32, 15.498, 15.4963) * CHOOSE(CONTROL!$C$15, $D$11, 100%, $F$11)</f>
        <v>15.497999999999999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1.2927</v>
      </c>
      <c r="Q585" s="9">
        <v>19.688099999999999</v>
      </c>
      <c r="R585" s="9"/>
      <c r="S585" s="11"/>
    </row>
    <row r="586" spans="1:19" ht="15.75">
      <c r="A586" s="13">
        <v>58987</v>
      </c>
      <c r="B586" s="8">
        <f>CHOOSE( CONTROL!$C$32, 15.7235, 15.7218) * CHOOSE(CONTROL!$C$15, $D$11, 100%, $F$11)</f>
        <v>15.7235</v>
      </c>
      <c r="C586" s="8">
        <f>CHOOSE( CONTROL!$C$32, 15.7314, 15.7298) * CHOOSE(CONTROL!$C$15, $D$11, 100%, $F$11)</f>
        <v>15.731400000000001</v>
      </c>
      <c r="D586" s="8">
        <f>CHOOSE( CONTROL!$C$32, 15.7284, 15.7268) * CHOOSE( CONTROL!$C$15, $D$11, 100%, $F$11)</f>
        <v>15.728400000000001</v>
      </c>
      <c r="E586" s="12">
        <f>CHOOSE( CONTROL!$C$32, 15.7283, 15.7267) * CHOOSE( CONTROL!$C$15, $D$11, 100%, $F$11)</f>
        <v>15.728300000000001</v>
      </c>
      <c r="F586" s="4">
        <f>CHOOSE( CONTROL!$C$32, 16.4304, 16.4288) * CHOOSE(CONTROL!$C$15, $D$11, 100%, $F$11)</f>
        <v>16.430399999999999</v>
      </c>
      <c r="G586" s="8">
        <f>CHOOSE( CONTROL!$C$32, 15.5493, 15.5477) * CHOOSE( CONTROL!$C$15, $D$11, 100%, $F$11)</f>
        <v>15.549300000000001</v>
      </c>
      <c r="H586" s="4">
        <f>CHOOSE( CONTROL!$C$32, 16.4846, 16.483) * CHOOSE(CONTROL!$C$15, $D$11, 100%, $F$11)</f>
        <v>16.4846</v>
      </c>
      <c r="I586" s="8">
        <f>CHOOSE( CONTROL!$C$32, 15.3737, 15.3721) * CHOOSE(CONTROL!$C$15, $D$11, 100%, $F$11)</f>
        <v>15.373699999999999</v>
      </c>
      <c r="J586" s="4">
        <f>CHOOSE( CONTROL!$C$32, 15.2488, 15.2472) * CHOOSE(CONTROL!$C$15, $D$11, 100%, $F$11)</f>
        <v>15.248799999999999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1.2509999999999999</v>
      </c>
      <c r="Q586" s="9">
        <v>19.053000000000001</v>
      </c>
      <c r="R586" s="9"/>
      <c r="S586" s="11"/>
    </row>
    <row r="587" spans="1:19" ht="15.75">
      <c r="A587" s="13">
        <v>59018</v>
      </c>
      <c r="B587" s="8">
        <f>CHOOSE( CONTROL!$C$32, 16.3995, 16.3979) * CHOOSE(CONTROL!$C$15, $D$11, 100%, $F$11)</f>
        <v>16.3995</v>
      </c>
      <c r="C587" s="8">
        <f>CHOOSE( CONTROL!$C$32, 16.4075, 16.4058) * CHOOSE(CONTROL!$C$15, $D$11, 100%, $F$11)</f>
        <v>16.407499999999999</v>
      </c>
      <c r="D587" s="8">
        <f>CHOOSE( CONTROL!$C$32, 16.4047, 16.403) * CHOOSE( CONTROL!$C$15, $D$11, 100%, $F$11)</f>
        <v>16.404699999999998</v>
      </c>
      <c r="E587" s="12">
        <f>CHOOSE( CONTROL!$C$32, 16.4045, 16.4028) * CHOOSE( CONTROL!$C$15, $D$11, 100%, $F$11)</f>
        <v>16.404499999999999</v>
      </c>
      <c r="F587" s="4">
        <f>CHOOSE( CONTROL!$C$32, 17.1065, 17.1048) * CHOOSE(CONTROL!$C$15, $D$11, 100%, $F$11)</f>
        <v>17.1065</v>
      </c>
      <c r="G587" s="8">
        <f>CHOOSE( CONTROL!$C$32, 16.2176, 16.216) * CHOOSE( CONTROL!$C$15, $D$11, 100%, $F$11)</f>
        <v>16.217600000000001</v>
      </c>
      <c r="H587" s="4">
        <f>CHOOSE( CONTROL!$C$32, 17.1528, 17.1511) * CHOOSE(CONTROL!$C$15, $D$11, 100%, $F$11)</f>
        <v>17.152799999999999</v>
      </c>
      <c r="I587" s="8">
        <f>CHOOSE( CONTROL!$C$32, 16.0309, 16.0293) * CHOOSE(CONTROL!$C$15, $D$11, 100%, $F$11)</f>
        <v>16.030899999999999</v>
      </c>
      <c r="J587" s="4">
        <f>CHOOSE( CONTROL!$C$32, 15.9049, 15.9033) * CHOOSE(CONTROL!$C$15, $D$11, 100%, $F$11)</f>
        <v>15.9049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1.2927</v>
      </c>
      <c r="Q587" s="9">
        <v>19.688099999999999</v>
      </c>
      <c r="R587" s="9"/>
      <c r="S587" s="11"/>
    </row>
    <row r="588" spans="1:19" ht="15.75">
      <c r="A588" s="13">
        <v>59049</v>
      </c>
      <c r="B588" s="8">
        <f>CHOOSE( CONTROL!$C$32, 15.1346, 15.1329) * CHOOSE(CONTROL!$C$15, $D$11, 100%, $F$11)</f>
        <v>15.134600000000001</v>
      </c>
      <c r="C588" s="8">
        <f>CHOOSE( CONTROL!$C$32, 15.1426, 15.1409) * CHOOSE(CONTROL!$C$15, $D$11, 100%, $F$11)</f>
        <v>15.1426</v>
      </c>
      <c r="D588" s="8">
        <f>CHOOSE( CONTROL!$C$32, 15.1399, 15.1382) * CHOOSE( CONTROL!$C$15, $D$11, 100%, $F$11)</f>
        <v>15.139900000000001</v>
      </c>
      <c r="E588" s="12">
        <f>CHOOSE( CONTROL!$C$32, 15.1397, 15.138) * CHOOSE( CONTROL!$C$15, $D$11, 100%, $F$11)</f>
        <v>15.139699999999999</v>
      </c>
      <c r="F588" s="4">
        <f>CHOOSE( CONTROL!$C$32, 15.8415, 15.8399) * CHOOSE(CONTROL!$C$15, $D$11, 100%, $F$11)</f>
        <v>15.8415</v>
      </c>
      <c r="G588" s="8">
        <f>CHOOSE( CONTROL!$C$32, 14.9676, 14.966) * CHOOSE( CONTROL!$C$15, $D$11, 100%, $F$11)</f>
        <v>14.967599999999999</v>
      </c>
      <c r="H588" s="4">
        <f>CHOOSE( CONTROL!$C$32, 15.9026, 15.901) * CHOOSE(CONTROL!$C$15, $D$11, 100%, $F$11)</f>
        <v>15.9026</v>
      </c>
      <c r="I588" s="8">
        <f>CHOOSE( CONTROL!$C$32, 14.8031, 14.8015) * CHOOSE(CONTROL!$C$15, $D$11, 100%, $F$11)</f>
        <v>14.803100000000001</v>
      </c>
      <c r="J588" s="4">
        <f>CHOOSE( CONTROL!$C$32, 14.6773, 14.6757) * CHOOSE(CONTROL!$C$15, $D$11, 100%, $F$11)</f>
        <v>14.677300000000001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1.2927</v>
      </c>
      <c r="Q588" s="9">
        <v>19.688099999999999</v>
      </c>
      <c r="R588" s="9"/>
      <c r="S588" s="11"/>
    </row>
    <row r="589" spans="1:19" ht="15.75">
      <c r="A589" s="13">
        <v>59079</v>
      </c>
      <c r="B589" s="8">
        <f>CHOOSE( CONTROL!$C$32, 14.8178, 14.8162) * CHOOSE(CONTROL!$C$15, $D$11, 100%, $F$11)</f>
        <v>14.8178</v>
      </c>
      <c r="C589" s="8">
        <f>CHOOSE( CONTROL!$C$32, 14.8258, 14.8241) * CHOOSE(CONTROL!$C$15, $D$11, 100%, $F$11)</f>
        <v>14.825799999999999</v>
      </c>
      <c r="D589" s="8">
        <f>CHOOSE( CONTROL!$C$32, 14.8231, 14.8214) * CHOOSE( CONTROL!$C$15, $D$11, 100%, $F$11)</f>
        <v>14.8231</v>
      </c>
      <c r="E589" s="12">
        <f>CHOOSE( CONTROL!$C$32, 14.8229, 14.8212) * CHOOSE( CONTROL!$C$15, $D$11, 100%, $F$11)</f>
        <v>14.822900000000001</v>
      </c>
      <c r="F589" s="4">
        <f>CHOOSE( CONTROL!$C$32, 15.5248, 15.5231) * CHOOSE(CONTROL!$C$15, $D$11, 100%, $F$11)</f>
        <v>15.524800000000001</v>
      </c>
      <c r="G589" s="8">
        <f>CHOOSE( CONTROL!$C$32, 14.6545, 14.6529) * CHOOSE( CONTROL!$C$15, $D$11, 100%, $F$11)</f>
        <v>14.654500000000001</v>
      </c>
      <c r="H589" s="4">
        <f>CHOOSE( CONTROL!$C$32, 15.5896, 15.588) * CHOOSE(CONTROL!$C$15, $D$11, 100%, $F$11)</f>
        <v>15.589600000000001</v>
      </c>
      <c r="I589" s="8">
        <f>CHOOSE( CONTROL!$C$32, 14.4953, 14.4937) * CHOOSE(CONTROL!$C$15, $D$11, 100%, $F$11)</f>
        <v>14.4953</v>
      </c>
      <c r="J589" s="4">
        <f>CHOOSE( CONTROL!$C$32, 14.3699, 14.3683) * CHOOSE(CONTROL!$C$15, $D$11, 100%, $F$11)</f>
        <v>14.369899999999999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1.2509999999999999</v>
      </c>
      <c r="Q589" s="9">
        <v>19.053000000000001</v>
      </c>
      <c r="R589" s="9"/>
      <c r="S589" s="11"/>
    </row>
    <row r="590" spans="1:19" ht="15.75">
      <c r="A590" s="13">
        <v>59110</v>
      </c>
      <c r="B590" s="8">
        <f>CHOOSE( CONTROL!$C$32, 15.4732, 15.4721) * CHOOSE(CONTROL!$C$15, $D$11, 100%, $F$11)</f>
        <v>15.4732</v>
      </c>
      <c r="C590" s="8">
        <f>CHOOSE( CONTROL!$C$32, 15.4785, 15.4775) * CHOOSE(CONTROL!$C$15, $D$11, 100%, $F$11)</f>
        <v>15.4785</v>
      </c>
      <c r="D590" s="8">
        <f>CHOOSE( CONTROL!$C$32, 15.4814, 15.4804) * CHOOSE( CONTROL!$C$15, $D$11, 100%, $F$11)</f>
        <v>15.481400000000001</v>
      </c>
      <c r="E590" s="12">
        <f>CHOOSE( CONTROL!$C$32, 15.4799, 15.4789) * CHOOSE( CONTROL!$C$15, $D$11, 100%, $F$11)</f>
        <v>15.479900000000001</v>
      </c>
      <c r="F590" s="4">
        <f>CHOOSE( CONTROL!$C$32, 16.1819, 16.1808) * CHOOSE(CONTROL!$C$15, $D$11, 100%, $F$11)</f>
        <v>16.181899999999999</v>
      </c>
      <c r="G590" s="8">
        <f>CHOOSE( CONTROL!$C$32, 15.3041, 15.303) * CHOOSE( CONTROL!$C$15, $D$11, 100%, $F$11)</f>
        <v>15.3041</v>
      </c>
      <c r="H590" s="4">
        <f>CHOOSE( CONTROL!$C$32, 16.239, 16.2379) * CHOOSE(CONTROL!$C$15, $D$11, 100%, $F$11)</f>
        <v>16.239000000000001</v>
      </c>
      <c r="I590" s="8">
        <f>CHOOSE( CONTROL!$C$32, 15.1342, 15.1331) * CHOOSE(CONTROL!$C$15, $D$11, 100%, $F$11)</f>
        <v>15.1342</v>
      </c>
      <c r="J590" s="4">
        <f>CHOOSE( CONTROL!$C$32, 15.0076, 15.0066) * CHOOSE(CONTROL!$C$15, $D$11, 100%, $F$11)</f>
        <v>15.0076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1.2927</v>
      </c>
      <c r="Q590" s="9">
        <v>19.688099999999999</v>
      </c>
      <c r="R590" s="9"/>
      <c r="S590" s="11"/>
    </row>
    <row r="591" spans="1:19" ht="15.75">
      <c r="A591" s="13">
        <v>59140</v>
      </c>
      <c r="B591" s="8">
        <f>CHOOSE( CONTROL!$C$32, 16.6868, 16.6857) * CHOOSE(CONTROL!$C$15, $D$11, 100%, $F$11)</f>
        <v>16.686800000000002</v>
      </c>
      <c r="C591" s="8">
        <f>CHOOSE( CONTROL!$C$32, 16.6918, 16.6908) * CHOOSE(CONTROL!$C$15, $D$11, 100%, $F$11)</f>
        <v>16.691800000000001</v>
      </c>
      <c r="D591" s="8">
        <f>CHOOSE( CONTROL!$C$32, 16.674, 16.6729) * CHOOSE( CONTROL!$C$15, $D$11, 100%, $F$11)</f>
        <v>16.673999999999999</v>
      </c>
      <c r="E591" s="12">
        <f>CHOOSE( CONTROL!$C$32, 16.68, 16.6789) * CHOOSE( CONTROL!$C$15, $D$11, 100%, $F$11)</f>
        <v>16.68</v>
      </c>
      <c r="F591" s="4">
        <f>CHOOSE( CONTROL!$C$32, 17.3521, 17.351) * CHOOSE(CONTROL!$C$15, $D$11, 100%, $F$11)</f>
        <v>17.3521</v>
      </c>
      <c r="G591" s="8">
        <f>CHOOSE( CONTROL!$C$32, 16.5029, 16.5019) * CHOOSE( CONTROL!$C$15, $D$11, 100%, $F$11)</f>
        <v>16.5029</v>
      </c>
      <c r="H591" s="4">
        <f>CHOOSE( CONTROL!$C$32, 17.3955, 17.3944) * CHOOSE(CONTROL!$C$15, $D$11, 100%, $F$11)</f>
        <v>17.395499999999998</v>
      </c>
      <c r="I591" s="8">
        <f>CHOOSE( CONTROL!$C$32, 16.3747, 16.3736) * CHOOSE(CONTROL!$C$15, $D$11, 100%, $F$11)</f>
        <v>16.374700000000001</v>
      </c>
      <c r="J591" s="4">
        <f>CHOOSE( CONTROL!$C$32, 16.1858, 16.1847) * CHOOSE(CONTROL!$C$15, $D$11, 100%, $F$11)</f>
        <v>16.1858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59171</v>
      </c>
      <c r="B592" s="8">
        <f>CHOOSE( CONTROL!$C$32, 16.6564, 16.6554) * CHOOSE(CONTROL!$C$15, $D$11, 100%, $F$11)</f>
        <v>16.656400000000001</v>
      </c>
      <c r="C592" s="8">
        <f>CHOOSE( CONTROL!$C$32, 16.6615, 16.6604) * CHOOSE(CONTROL!$C$15, $D$11, 100%, $F$11)</f>
        <v>16.6615</v>
      </c>
      <c r="D592" s="8">
        <f>CHOOSE( CONTROL!$C$32, 16.6451, 16.644) * CHOOSE( CONTROL!$C$15, $D$11, 100%, $F$11)</f>
        <v>16.645099999999999</v>
      </c>
      <c r="E592" s="12">
        <f>CHOOSE( CONTROL!$C$32, 16.6506, 16.6495) * CHOOSE( CONTROL!$C$15, $D$11, 100%, $F$11)</f>
        <v>16.650600000000001</v>
      </c>
      <c r="F592" s="4">
        <f>CHOOSE( CONTROL!$C$32, 17.3217, 17.3206) * CHOOSE(CONTROL!$C$15, $D$11, 100%, $F$11)</f>
        <v>17.3217</v>
      </c>
      <c r="G592" s="8">
        <f>CHOOSE( CONTROL!$C$32, 16.474, 16.4729) * CHOOSE( CONTROL!$C$15, $D$11, 100%, $F$11)</f>
        <v>16.474</v>
      </c>
      <c r="H592" s="4">
        <f>CHOOSE( CONTROL!$C$32, 17.3655, 17.3644) * CHOOSE(CONTROL!$C$15, $D$11, 100%, $F$11)</f>
        <v>17.365500000000001</v>
      </c>
      <c r="I592" s="8">
        <f>CHOOSE( CONTROL!$C$32, 16.3497, 16.3486) * CHOOSE(CONTROL!$C$15, $D$11, 100%, $F$11)</f>
        <v>16.349699999999999</v>
      </c>
      <c r="J592" s="4">
        <f>CHOOSE( CONTROL!$C$32, 16.1563, 16.1553) * CHOOSE(CONTROL!$C$15, $D$11, 100%, $F$11)</f>
        <v>16.156300000000002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59202</v>
      </c>
      <c r="B593" s="8">
        <f>CHOOSE( CONTROL!$C$32, 17.1475, 17.1464) * CHOOSE(CONTROL!$C$15, $D$11, 100%, $F$11)</f>
        <v>17.147500000000001</v>
      </c>
      <c r="C593" s="8">
        <f>CHOOSE( CONTROL!$C$32, 17.1525, 17.1514) * CHOOSE(CONTROL!$C$15, $D$11, 100%, $F$11)</f>
        <v>17.1525</v>
      </c>
      <c r="D593" s="8">
        <f>CHOOSE( CONTROL!$C$32, 17.1312, 17.1302) * CHOOSE( CONTROL!$C$15, $D$11, 100%, $F$11)</f>
        <v>17.1312</v>
      </c>
      <c r="E593" s="12">
        <f>CHOOSE( CONTROL!$C$32, 17.1385, 17.1374) * CHOOSE( CONTROL!$C$15, $D$11, 100%, $F$11)</f>
        <v>17.138500000000001</v>
      </c>
      <c r="F593" s="4">
        <f>CHOOSE( CONTROL!$C$32, 17.8127, 17.8117) * CHOOSE(CONTROL!$C$15, $D$11, 100%, $F$11)</f>
        <v>17.8127</v>
      </c>
      <c r="G593" s="8">
        <f>CHOOSE( CONTROL!$C$32, 16.9488, 16.9477) * CHOOSE( CONTROL!$C$15, $D$11, 100%, $F$11)</f>
        <v>16.948799999999999</v>
      </c>
      <c r="H593" s="4">
        <f>CHOOSE( CONTROL!$C$32, 17.8508, 17.8497) * CHOOSE(CONTROL!$C$15, $D$11, 100%, $F$11)</f>
        <v>17.8508</v>
      </c>
      <c r="I593" s="8">
        <f>CHOOSE( CONTROL!$C$32, 16.7885, 16.7875) * CHOOSE(CONTROL!$C$15, $D$11, 100%, $F$11)</f>
        <v>16.788499999999999</v>
      </c>
      <c r="J593" s="4">
        <f>CHOOSE( CONTROL!$C$32, 16.6329, 16.6318) * CHOOSE(CONTROL!$C$15, $D$11, 100%, $F$11)</f>
        <v>16.632899999999999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59230</v>
      </c>
      <c r="B594" s="8">
        <f>CHOOSE( CONTROL!$C$32, 16.0396, 16.0385) * CHOOSE(CONTROL!$C$15, $D$11, 100%, $F$11)</f>
        <v>16.0396</v>
      </c>
      <c r="C594" s="8">
        <f>CHOOSE( CONTROL!$C$32, 16.0446, 16.0435) * CHOOSE(CONTROL!$C$15, $D$11, 100%, $F$11)</f>
        <v>16.044599999999999</v>
      </c>
      <c r="D594" s="8">
        <f>CHOOSE( CONTROL!$C$32, 16.0232, 16.0221) * CHOOSE( CONTROL!$C$15, $D$11, 100%, $F$11)</f>
        <v>16.023199999999999</v>
      </c>
      <c r="E594" s="12">
        <f>CHOOSE( CONTROL!$C$32, 16.0305, 16.0294) * CHOOSE( CONTROL!$C$15, $D$11, 100%, $F$11)</f>
        <v>16.0305</v>
      </c>
      <c r="F594" s="4">
        <f>CHOOSE( CONTROL!$C$32, 16.7048, 16.7038) * CHOOSE(CONTROL!$C$15, $D$11, 100%, $F$11)</f>
        <v>16.704799999999999</v>
      </c>
      <c r="G594" s="8">
        <f>CHOOSE( CONTROL!$C$32, 15.8537, 15.8527) * CHOOSE( CONTROL!$C$15, $D$11, 100%, $F$11)</f>
        <v>15.8537</v>
      </c>
      <c r="H594" s="4">
        <f>CHOOSE( CONTROL!$C$32, 16.7559, 16.7548) * CHOOSE(CONTROL!$C$15, $D$11, 100%, $F$11)</f>
        <v>16.7559</v>
      </c>
      <c r="I594" s="8">
        <f>CHOOSE( CONTROL!$C$32, 15.7123, 15.7113) * CHOOSE(CONTROL!$C$15, $D$11, 100%, $F$11)</f>
        <v>15.712300000000001</v>
      </c>
      <c r="J594" s="4">
        <f>CHOOSE( CONTROL!$C$32, 15.5576, 15.5566) * CHOOSE(CONTROL!$C$15, $D$11, 100%, $F$11)</f>
        <v>15.557600000000001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59261</v>
      </c>
      <c r="B595" s="8">
        <f>CHOOSE( CONTROL!$C$32, 15.6983, 15.6972) * CHOOSE(CONTROL!$C$15, $D$11, 100%, $F$11)</f>
        <v>15.6983</v>
      </c>
      <c r="C595" s="8">
        <f>CHOOSE( CONTROL!$C$32, 15.7034, 15.7023) * CHOOSE(CONTROL!$C$15, $D$11, 100%, $F$11)</f>
        <v>15.7034</v>
      </c>
      <c r="D595" s="8">
        <f>CHOOSE( CONTROL!$C$32, 15.6813, 15.6803) * CHOOSE( CONTROL!$C$15, $D$11, 100%, $F$11)</f>
        <v>15.6813</v>
      </c>
      <c r="E595" s="12">
        <f>CHOOSE( CONTROL!$C$32, 15.6888, 15.6878) * CHOOSE( CONTROL!$C$15, $D$11, 100%, $F$11)</f>
        <v>15.688800000000001</v>
      </c>
      <c r="F595" s="4">
        <f>CHOOSE( CONTROL!$C$32, 16.3636, 16.3625) * CHOOSE(CONTROL!$C$15, $D$11, 100%, $F$11)</f>
        <v>16.363600000000002</v>
      </c>
      <c r="G595" s="8">
        <f>CHOOSE( CONTROL!$C$32, 15.5161, 15.515) * CHOOSE( CONTROL!$C$15, $D$11, 100%, $F$11)</f>
        <v>15.5161</v>
      </c>
      <c r="H595" s="4">
        <f>CHOOSE( CONTROL!$C$32, 16.4186, 16.4175) * CHOOSE(CONTROL!$C$15, $D$11, 100%, $F$11)</f>
        <v>16.418600000000001</v>
      </c>
      <c r="I595" s="8">
        <f>CHOOSE( CONTROL!$C$32, 15.379, 15.378) * CHOOSE(CONTROL!$C$15, $D$11, 100%, $F$11)</f>
        <v>15.379</v>
      </c>
      <c r="J595" s="4">
        <f>CHOOSE( CONTROL!$C$32, 15.2265, 15.2254) * CHOOSE(CONTROL!$C$15, $D$11, 100%, $F$11)</f>
        <v>15.2265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59291</v>
      </c>
      <c r="B596" s="8">
        <f>CHOOSE( CONTROL!$C$32, 15.9375, 15.9365) * CHOOSE(CONTROL!$C$15, $D$11, 100%, $F$11)</f>
        <v>15.9375</v>
      </c>
      <c r="C596" s="8">
        <f>CHOOSE( CONTROL!$C$32, 15.942, 15.941) * CHOOSE(CONTROL!$C$15, $D$11, 100%, $F$11)</f>
        <v>15.942</v>
      </c>
      <c r="D596" s="8">
        <f>CHOOSE( CONTROL!$C$32, 15.9449, 15.9438) * CHOOSE( CONTROL!$C$15, $D$11, 100%, $F$11)</f>
        <v>15.944900000000001</v>
      </c>
      <c r="E596" s="12">
        <f>CHOOSE( CONTROL!$C$32, 15.9434, 15.9424) * CHOOSE( CONTROL!$C$15, $D$11, 100%, $F$11)</f>
        <v>15.9434</v>
      </c>
      <c r="F596" s="4">
        <f>CHOOSE( CONTROL!$C$32, 16.6458, 16.6448) * CHOOSE(CONTROL!$C$15, $D$11, 100%, $F$11)</f>
        <v>16.645800000000001</v>
      </c>
      <c r="G596" s="8">
        <f>CHOOSE( CONTROL!$C$32, 15.7622, 15.7611) * CHOOSE( CONTROL!$C$15, $D$11, 100%, $F$11)</f>
        <v>15.7622</v>
      </c>
      <c r="H596" s="4">
        <f>CHOOSE( CONTROL!$C$32, 16.6975, 16.6965) * CHOOSE(CONTROL!$C$15, $D$11, 100%, $F$11)</f>
        <v>16.697500000000002</v>
      </c>
      <c r="I596" s="8">
        <f>CHOOSE( CONTROL!$C$32, 15.5828, 15.5818) * CHOOSE(CONTROL!$C$15, $D$11, 100%, $F$11)</f>
        <v>15.582800000000001</v>
      </c>
      <c r="J596" s="4">
        <f>CHOOSE( CONTROL!$C$32, 15.4579, 15.4568) * CHOOSE(CONTROL!$C$15, $D$11, 100%, $F$11)</f>
        <v>15.4579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1.2509999999999999</v>
      </c>
      <c r="Q596" s="9">
        <v>19.053000000000001</v>
      </c>
      <c r="R596" s="9"/>
      <c r="S596" s="11"/>
    </row>
    <row r="597" spans="1:19" ht="15.75">
      <c r="A597" s="13">
        <v>59322</v>
      </c>
      <c r="B597" s="8">
        <f>CHOOSE( CONTROL!$C$32, 16.3638, 16.3622) * CHOOSE(CONTROL!$C$15, $D$11, 100%, $F$11)</f>
        <v>16.363800000000001</v>
      </c>
      <c r="C597" s="8">
        <f>CHOOSE( CONTROL!$C$32, 16.3718, 16.3702) * CHOOSE(CONTROL!$C$15, $D$11, 100%, $F$11)</f>
        <v>16.3718</v>
      </c>
      <c r="D597" s="8">
        <f>CHOOSE( CONTROL!$C$32, 16.3686, 16.3669) * CHOOSE( CONTROL!$C$15, $D$11, 100%, $F$11)</f>
        <v>16.368600000000001</v>
      </c>
      <c r="E597" s="12">
        <f>CHOOSE( CONTROL!$C$32, 16.3685, 16.3669) * CHOOSE( CONTROL!$C$15, $D$11, 100%, $F$11)</f>
        <v>16.368500000000001</v>
      </c>
      <c r="F597" s="4">
        <f>CHOOSE( CONTROL!$C$32, 17.0708, 17.0691) * CHOOSE(CONTROL!$C$15, $D$11, 100%, $F$11)</f>
        <v>17.070799999999998</v>
      </c>
      <c r="G597" s="8">
        <f>CHOOSE( CONTROL!$C$32, 16.182, 16.1804) * CHOOSE( CONTROL!$C$15, $D$11, 100%, $F$11)</f>
        <v>16.181999999999999</v>
      </c>
      <c r="H597" s="4">
        <f>CHOOSE( CONTROL!$C$32, 17.1175, 17.1159) * CHOOSE(CONTROL!$C$15, $D$11, 100%, $F$11)</f>
        <v>17.1175</v>
      </c>
      <c r="I597" s="8">
        <f>CHOOSE( CONTROL!$C$32, 15.9947, 15.9931) * CHOOSE(CONTROL!$C$15, $D$11, 100%, $F$11)</f>
        <v>15.9947</v>
      </c>
      <c r="J597" s="4">
        <f>CHOOSE( CONTROL!$C$32, 15.8703, 15.8687) * CHOOSE(CONTROL!$C$15, $D$11, 100%, $F$11)</f>
        <v>15.8703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1.2927</v>
      </c>
      <c r="Q597" s="9">
        <v>19.688099999999999</v>
      </c>
      <c r="R597" s="9"/>
      <c r="S597" s="11"/>
    </row>
    <row r="598" spans="1:19" ht="15.75">
      <c r="A598" s="13">
        <v>59352</v>
      </c>
      <c r="B598" s="8">
        <f>CHOOSE( CONTROL!$C$32, 16.101, 16.0993) * CHOOSE(CONTROL!$C$15, $D$11, 100%, $F$11)</f>
        <v>16.100999999999999</v>
      </c>
      <c r="C598" s="8">
        <f>CHOOSE( CONTROL!$C$32, 16.1089, 16.1073) * CHOOSE(CONTROL!$C$15, $D$11, 100%, $F$11)</f>
        <v>16.108899999999998</v>
      </c>
      <c r="D598" s="8">
        <f>CHOOSE( CONTROL!$C$32, 16.1059, 16.1042) * CHOOSE( CONTROL!$C$15, $D$11, 100%, $F$11)</f>
        <v>16.105899999999998</v>
      </c>
      <c r="E598" s="12">
        <f>CHOOSE( CONTROL!$C$32, 16.1058, 16.1041) * CHOOSE( CONTROL!$C$15, $D$11, 100%, $F$11)</f>
        <v>16.105799999999999</v>
      </c>
      <c r="F598" s="4">
        <f>CHOOSE( CONTROL!$C$32, 16.8079, 16.8062) * CHOOSE(CONTROL!$C$15, $D$11, 100%, $F$11)</f>
        <v>16.8079</v>
      </c>
      <c r="G598" s="8">
        <f>CHOOSE( CONTROL!$C$32, 15.9224, 15.9208) * CHOOSE( CONTROL!$C$15, $D$11, 100%, $F$11)</f>
        <v>15.9224</v>
      </c>
      <c r="H598" s="4">
        <f>CHOOSE( CONTROL!$C$32, 16.8577, 16.8561) * CHOOSE(CONTROL!$C$15, $D$11, 100%, $F$11)</f>
        <v>16.857700000000001</v>
      </c>
      <c r="I598" s="8">
        <f>CHOOSE( CONTROL!$C$32, 15.7402, 15.7386) * CHOOSE(CONTROL!$C$15, $D$11, 100%, $F$11)</f>
        <v>15.7402</v>
      </c>
      <c r="J598" s="4">
        <f>CHOOSE( CONTROL!$C$32, 15.6152, 15.6136) * CHOOSE(CONTROL!$C$15, $D$11, 100%, $F$11)</f>
        <v>15.6152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1.2509999999999999</v>
      </c>
      <c r="Q598" s="9">
        <v>19.053000000000001</v>
      </c>
      <c r="R598" s="9"/>
      <c r="S598" s="11"/>
    </row>
    <row r="599" spans="1:19" ht="15.75">
      <c r="A599" s="13">
        <v>59383</v>
      </c>
      <c r="B599" s="8">
        <f>CHOOSE( CONTROL!$C$32, 16.7932, 16.7916) * CHOOSE(CONTROL!$C$15, $D$11, 100%, $F$11)</f>
        <v>16.793199999999999</v>
      </c>
      <c r="C599" s="8">
        <f>CHOOSE( CONTROL!$C$32, 16.8012, 16.7996) * CHOOSE(CONTROL!$C$15, $D$11, 100%, $F$11)</f>
        <v>16.801200000000001</v>
      </c>
      <c r="D599" s="8">
        <f>CHOOSE( CONTROL!$C$32, 16.7984, 16.7968) * CHOOSE( CONTROL!$C$15, $D$11, 100%, $F$11)</f>
        <v>16.798400000000001</v>
      </c>
      <c r="E599" s="12">
        <f>CHOOSE( CONTROL!$C$32, 16.7982, 16.7966) * CHOOSE( CONTROL!$C$15, $D$11, 100%, $F$11)</f>
        <v>16.798200000000001</v>
      </c>
      <c r="F599" s="4">
        <f>CHOOSE( CONTROL!$C$32, 17.5002, 17.4985) * CHOOSE(CONTROL!$C$15, $D$11, 100%, $F$11)</f>
        <v>17.5002</v>
      </c>
      <c r="G599" s="8">
        <f>CHOOSE( CONTROL!$C$32, 16.6068, 16.6051) * CHOOSE( CONTROL!$C$15, $D$11, 100%, $F$11)</f>
        <v>16.6068</v>
      </c>
      <c r="H599" s="4">
        <f>CHOOSE( CONTROL!$C$32, 17.5419, 17.5402) * CHOOSE(CONTROL!$C$15, $D$11, 100%, $F$11)</f>
        <v>17.541899999999998</v>
      </c>
      <c r="I599" s="8">
        <f>CHOOSE( CONTROL!$C$32, 16.4133, 16.4116) * CHOOSE(CONTROL!$C$15, $D$11, 100%, $F$11)</f>
        <v>16.4133</v>
      </c>
      <c r="J599" s="4">
        <f>CHOOSE( CONTROL!$C$32, 16.287, 16.2854) * CHOOSE(CONTROL!$C$15, $D$11, 100%, $F$11)</f>
        <v>16.286999999999999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1.2927</v>
      </c>
      <c r="Q599" s="9">
        <v>19.688099999999999</v>
      </c>
      <c r="R599" s="9"/>
      <c r="S599" s="11"/>
    </row>
    <row r="600" spans="1:19" ht="15.75">
      <c r="A600" s="13">
        <v>59414</v>
      </c>
      <c r="B600" s="8">
        <f>CHOOSE( CONTROL!$C$32, 15.4979, 15.4963) * CHOOSE(CONTROL!$C$15, $D$11, 100%, $F$11)</f>
        <v>15.4979</v>
      </c>
      <c r="C600" s="8">
        <f>CHOOSE( CONTROL!$C$32, 15.5059, 15.5042) * CHOOSE(CONTROL!$C$15, $D$11, 100%, $F$11)</f>
        <v>15.5059</v>
      </c>
      <c r="D600" s="8">
        <f>CHOOSE( CONTROL!$C$32, 15.5032, 15.5015) * CHOOSE( CONTROL!$C$15, $D$11, 100%, $F$11)</f>
        <v>15.5032</v>
      </c>
      <c r="E600" s="12">
        <f>CHOOSE( CONTROL!$C$32, 15.503, 15.5013) * CHOOSE( CONTROL!$C$15, $D$11, 100%, $F$11)</f>
        <v>15.503</v>
      </c>
      <c r="F600" s="4">
        <f>CHOOSE( CONTROL!$C$32, 16.2049, 16.2032) * CHOOSE(CONTROL!$C$15, $D$11, 100%, $F$11)</f>
        <v>16.204899999999999</v>
      </c>
      <c r="G600" s="8">
        <f>CHOOSE( CONTROL!$C$32, 15.3267, 15.325) * CHOOSE( CONTROL!$C$15, $D$11, 100%, $F$11)</f>
        <v>15.326700000000001</v>
      </c>
      <c r="H600" s="4">
        <f>CHOOSE( CONTROL!$C$32, 16.2617, 16.2601) * CHOOSE(CONTROL!$C$15, $D$11, 100%, $F$11)</f>
        <v>16.261700000000001</v>
      </c>
      <c r="I600" s="8">
        <f>CHOOSE( CONTROL!$C$32, 15.1559, 15.1542) * CHOOSE(CONTROL!$C$15, $D$11, 100%, $F$11)</f>
        <v>15.155900000000001</v>
      </c>
      <c r="J600" s="4">
        <f>CHOOSE( CONTROL!$C$32, 15.0299, 15.0283) * CHOOSE(CONTROL!$C$15, $D$11, 100%, $F$11)</f>
        <v>15.0299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1.2927</v>
      </c>
      <c r="Q600" s="9">
        <v>19.688099999999999</v>
      </c>
      <c r="R600" s="9"/>
      <c r="S600" s="11"/>
    </row>
    <row r="601" spans="1:19" ht="15.75">
      <c r="A601" s="13">
        <v>59444</v>
      </c>
      <c r="B601" s="8">
        <f>CHOOSE( CONTROL!$C$32, 15.1735, 15.1719) * CHOOSE(CONTROL!$C$15, $D$11, 100%, $F$11)</f>
        <v>15.173500000000001</v>
      </c>
      <c r="C601" s="8">
        <f>CHOOSE( CONTROL!$C$32, 15.1815, 15.1799) * CHOOSE(CONTROL!$C$15, $D$11, 100%, $F$11)</f>
        <v>15.1815</v>
      </c>
      <c r="D601" s="8">
        <f>CHOOSE( CONTROL!$C$32, 15.1788, 15.1771) * CHOOSE( CONTROL!$C$15, $D$11, 100%, $F$11)</f>
        <v>15.178800000000001</v>
      </c>
      <c r="E601" s="12">
        <f>CHOOSE( CONTROL!$C$32, 15.1786, 15.1769) * CHOOSE( CONTROL!$C$15, $D$11, 100%, $F$11)</f>
        <v>15.178599999999999</v>
      </c>
      <c r="F601" s="4">
        <f>CHOOSE( CONTROL!$C$32, 15.8805, 15.8788) * CHOOSE(CONTROL!$C$15, $D$11, 100%, $F$11)</f>
        <v>15.8805</v>
      </c>
      <c r="G601" s="8">
        <f>CHOOSE( CONTROL!$C$32, 15.0061, 15.0044) * CHOOSE( CONTROL!$C$15, $D$11, 100%, $F$11)</f>
        <v>15.0061</v>
      </c>
      <c r="H601" s="4">
        <f>CHOOSE( CONTROL!$C$32, 15.9412, 15.9395) * CHOOSE(CONTROL!$C$15, $D$11, 100%, $F$11)</f>
        <v>15.9412</v>
      </c>
      <c r="I601" s="8">
        <f>CHOOSE( CONTROL!$C$32, 14.8407, 14.8391) * CHOOSE(CONTROL!$C$15, $D$11, 100%, $F$11)</f>
        <v>14.8407</v>
      </c>
      <c r="J601" s="4">
        <f>CHOOSE( CONTROL!$C$32, 14.7151, 14.7135) * CHOOSE(CONTROL!$C$15, $D$11, 100%, $F$11)</f>
        <v>14.7151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1.2509999999999999</v>
      </c>
      <c r="Q601" s="9">
        <v>19.053000000000001</v>
      </c>
      <c r="R601" s="9"/>
      <c r="S601" s="11"/>
    </row>
    <row r="602" spans="1:19" ht="15.75">
      <c r="A602" s="13">
        <v>59475</v>
      </c>
      <c r="B602" s="8">
        <f>CHOOSE( CONTROL!$C$32, 15.8447, 15.8437) * CHOOSE(CONTROL!$C$15, $D$11, 100%, $F$11)</f>
        <v>15.8447</v>
      </c>
      <c r="C602" s="8">
        <f>CHOOSE( CONTROL!$C$32, 15.8501, 15.849) * CHOOSE(CONTROL!$C$15, $D$11, 100%, $F$11)</f>
        <v>15.850099999999999</v>
      </c>
      <c r="D602" s="8">
        <f>CHOOSE( CONTROL!$C$32, 15.853, 15.8519) * CHOOSE( CONTROL!$C$15, $D$11, 100%, $F$11)</f>
        <v>15.853</v>
      </c>
      <c r="E602" s="12">
        <f>CHOOSE( CONTROL!$C$32, 15.8515, 15.8504) * CHOOSE( CONTROL!$C$15, $D$11, 100%, $F$11)</f>
        <v>15.8515</v>
      </c>
      <c r="F602" s="4">
        <f>CHOOSE( CONTROL!$C$32, 16.5534, 16.5523) * CHOOSE(CONTROL!$C$15, $D$11, 100%, $F$11)</f>
        <v>16.5534</v>
      </c>
      <c r="G602" s="8">
        <f>CHOOSE( CONTROL!$C$32, 15.6713, 15.6702) * CHOOSE( CONTROL!$C$15, $D$11, 100%, $F$11)</f>
        <v>15.6713</v>
      </c>
      <c r="H602" s="4">
        <f>CHOOSE( CONTROL!$C$32, 16.6062, 16.6051) * CHOOSE(CONTROL!$C$15, $D$11, 100%, $F$11)</f>
        <v>16.606200000000001</v>
      </c>
      <c r="I602" s="8">
        <f>CHOOSE( CONTROL!$C$32, 15.4949, 15.4939) * CHOOSE(CONTROL!$C$15, $D$11, 100%, $F$11)</f>
        <v>15.494899999999999</v>
      </c>
      <c r="J602" s="4">
        <f>CHOOSE( CONTROL!$C$32, 15.3682, 15.3671) * CHOOSE(CONTROL!$C$15, $D$11, 100%, $F$11)</f>
        <v>15.3682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1.2927</v>
      </c>
      <c r="Q602" s="9">
        <v>19.688099999999999</v>
      </c>
      <c r="R602" s="9"/>
      <c r="S602" s="11"/>
    </row>
    <row r="603" spans="1:19" ht="15.75">
      <c r="A603" s="13">
        <v>59505</v>
      </c>
      <c r="B603" s="8">
        <f>CHOOSE( CONTROL!$C$32, 17.0875, 17.0864) * CHOOSE(CONTROL!$C$15, $D$11, 100%, $F$11)</f>
        <v>17.087499999999999</v>
      </c>
      <c r="C603" s="8">
        <f>CHOOSE( CONTROL!$C$32, 17.0925, 17.0915) * CHOOSE(CONTROL!$C$15, $D$11, 100%, $F$11)</f>
        <v>17.092500000000001</v>
      </c>
      <c r="D603" s="8">
        <f>CHOOSE( CONTROL!$C$32, 17.0747, 17.0736) * CHOOSE( CONTROL!$C$15, $D$11, 100%, $F$11)</f>
        <v>17.0747</v>
      </c>
      <c r="E603" s="12">
        <f>CHOOSE( CONTROL!$C$32, 17.0807, 17.0796) * CHOOSE( CONTROL!$C$15, $D$11, 100%, $F$11)</f>
        <v>17.0807</v>
      </c>
      <c r="F603" s="4">
        <f>CHOOSE( CONTROL!$C$32, 17.7528, 17.7517) * CHOOSE(CONTROL!$C$15, $D$11, 100%, $F$11)</f>
        <v>17.752800000000001</v>
      </c>
      <c r="G603" s="8">
        <f>CHOOSE( CONTROL!$C$32, 16.8989, 16.8979) * CHOOSE( CONTROL!$C$15, $D$11, 100%, $F$11)</f>
        <v>16.898900000000001</v>
      </c>
      <c r="H603" s="4">
        <f>CHOOSE( CONTROL!$C$32, 17.7915, 17.7904) * CHOOSE(CONTROL!$C$15, $D$11, 100%, $F$11)</f>
        <v>17.791499999999999</v>
      </c>
      <c r="I603" s="8">
        <f>CHOOSE( CONTROL!$C$32, 16.7637, 16.7627) * CHOOSE(CONTROL!$C$15, $D$11, 100%, $F$11)</f>
        <v>16.7637</v>
      </c>
      <c r="J603" s="4">
        <f>CHOOSE( CONTROL!$C$32, 16.5746, 16.5736) * CHOOSE(CONTROL!$C$15, $D$11, 100%, $F$11)</f>
        <v>16.5746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59536</v>
      </c>
      <c r="B604" s="8">
        <f>CHOOSE( CONTROL!$C$32, 17.0564, 17.0553) * CHOOSE(CONTROL!$C$15, $D$11, 100%, $F$11)</f>
        <v>17.0564</v>
      </c>
      <c r="C604" s="8">
        <f>CHOOSE( CONTROL!$C$32, 17.0615, 17.0604) * CHOOSE(CONTROL!$C$15, $D$11, 100%, $F$11)</f>
        <v>17.061499999999999</v>
      </c>
      <c r="D604" s="8">
        <f>CHOOSE( CONTROL!$C$32, 17.0451, 17.044) * CHOOSE( CONTROL!$C$15, $D$11, 100%, $F$11)</f>
        <v>17.045100000000001</v>
      </c>
      <c r="E604" s="12">
        <f>CHOOSE( CONTROL!$C$32, 17.0506, 17.0495) * CHOOSE( CONTROL!$C$15, $D$11, 100%, $F$11)</f>
        <v>17.050599999999999</v>
      </c>
      <c r="F604" s="4">
        <f>CHOOSE( CONTROL!$C$32, 17.7217, 17.7206) * CHOOSE(CONTROL!$C$15, $D$11, 100%, $F$11)</f>
        <v>17.721699999999998</v>
      </c>
      <c r="G604" s="8">
        <f>CHOOSE( CONTROL!$C$32, 16.8693, 16.8682) * CHOOSE( CONTROL!$C$15, $D$11, 100%, $F$11)</f>
        <v>16.869299999999999</v>
      </c>
      <c r="H604" s="4">
        <f>CHOOSE( CONTROL!$C$32, 17.7608, 17.7597) * CHOOSE(CONTROL!$C$15, $D$11, 100%, $F$11)</f>
        <v>17.7608</v>
      </c>
      <c r="I604" s="8">
        <f>CHOOSE( CONTROL!$C$32, 16.7381, 16.737) * CHOOSE(CONTROL!$C$15, $D$11, 100%, $F$11)</f>
        <v>16.738099999999999</v>
      </c>
      <c r="J604" s="4">
        <f>CHOOSE( CONTROL!$C$32, 16.5445, 16.5434) * CHOOSE(CONTROL!$C$15, $D$11, 100%, $F$11)</f>
        <v>16.544499999999999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59567</v>
      </c>
      <c r="B605" s="8">
        <f>CHOOSE( CONTROL!$C$32, 17.5592, 17.5581) * CHOOSE(CONTROL!$C$15, $D$11, 100%, $F$11)</f>
        <v>17.559200000000001</v>
      </c>
      <c r="C605" s="8">
        <f>CHOOSE( CONTROL!$C$32, 17.5643, 17.5632) * CHOOSE(CONTROL!$C$15, $D$11, 100%, $F$11)</f>
        <v>17.564299999999999</v>
      </c>
      <c r="D605" s="8">
        <f>CHOOSE( CONTROL!$C$32, 17.543, 17.5419) * CHOOSE( CONTROL!$C$15, $D$11, 100%, $F$11)</f>
        <v>17.542999999999999</v>
      </c>
      <c r="E605" s="12">
        <f>CHOOSE( CONTROL!$C$32, 17.5502, 17.5491) * CHOOSE( CONTROL!$C$15, $D$11, 100%, $F$11)</f>
        <v>17.5502</v>
      </c>
      <c r="F605" s="4">
        <f>CHOOSE( CONTROL!$C$32, 18.2245, 18.2234) * CHOOSE(CONTROL!$C$15, $D$11, 100%, $F$11)</f>
        <v>18.224499999999999</v>
      </c>
      <c r="G605" s="8">
        <f>CHOOSE( CONTROL!$C$32, 17.3557, 17.3546) * CHOOSE( CONTROL!$C$15, $D$11, 100%, $F$11)</f>
        <v>17.355699999999999</v>
      </c>
      <c r="H605" s="4">
        <f>CHOOSE( CONTROL!$C$32, 18.2577, 18.2567) * CHOOSE(CONTROL!$C$15, $D$11, 100%, $F$11)</f>
        <v>18.2577</v>
      </c>
      <c r="I605" s="8">
        <f>CHOOSE( CONTROL!$C$32, 17.1883, 17.1873) * CHOOSE(CONTROL!$C$15, $D$11, 100%, $F$11)</f>
        <v>17.188300000000002</v>
      </c>
      <c r="J605" s="4">
        <f>CHOOSE( CONTROL!$C$32, 17.0325, 17.0314) * CHOOSE(CONTROL!$C$15, $D$11, 100%, $F$11)</f>
        <v>17.032499999999999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59595</v>
      </c>
      <c r="B606" s="8">
        <f>CHOOSE( CONTROL!$C$32, 16.4247, 16.4236) * CHOOSE(CONTROL!$C$15, $D$11, 100%, $F$11)</f>
        <v>16.424700000000001</v>
      </c>
      <c r="C606" s="8">
        <f>CHOOSE( CONTROL!$C$32, 16.4298, 16.4287) * CHOOSE(CONTROL!$C$15, $D$11, 100%, $F$11)</f>
        <v>16.4298</v>
      </c>
      <c r="D606" s="8">
        <f>CHOOSE( CONTROL!$C$32, 16.4084, 16.4073) * CHOOSE( CONTROL!$C$15, $D$11, 100%, $F$11)</f>
        <v>16.4084</v>
      </c>
      <c r="E606" s="12">
        <f>CHOOSE( CONTROL!$C$32, 16.4157, 16.4146) * CHOOSE( CONTROL!$C$15, $D$11, 100%, $F$11)</f>
        <v>16.415700000000001</v>
      </c>
      <c r="F606" s="4">
        <f>CHOOSE( CONTROL!$C$32, 17.09, 17.0889) * CHOOSE(CONTROL!$C$15, $D$11, 100%, $F$11)</f>
        <v>17.09</v>
      </c>
      <c r="G606" s="8">
        <f>CHOOSE( CONTROL!$C$32, 16.2344, 16.2333) * CHOOSE( CONTROL!$C$15, $D$11, 100%, $F$11)</f>
        <v>16.234400000000001</v>
      </c>
      <c r="H606" s="4">
        <f>CHOOSE( CONTROL!$C$32, 17.1365, 17.1354) * CHOOSE(CONTROL!$C$15, $D$11, 100%, $F$11)</f>
        <v>17.136500000000002</v>
      </c>
      <c r="I606" s="8">
        <f>CHOOSE( CONTROL!$C$32, 16.0863, 16.0853) * CHOOSE(CONTROL!$C$15, $D$11, 100%, $F$11)</f>
        <v>16.086300000000001</v>
      </c>
      <c r="J606" s="4">
        <f>CHOOSE( CONTROL!$C$32, 15.9314, 15.9304) * CHOOSE(CONTROL!$C$15, $D$11, 100%, $F$11)</f>
        <v>15.9314</v>
      </c>
      <c r="K606" s="4"/>
      <c r="L606" s="9">
        <v>26.469899999999999</v>
      </c>
      <c r="M606" s="9">
        <v>10.8962</v>
      </c>
      <c r="N606" s="9">
        <v>4.4660000000000002</v>
      </c>
      <c r="O606" s="9">
        <v>0.33789999999999998</v>
      </c>
      <c r="P606" s="9">
        <v>1.1676</v>
      </c>
      <c r="Q606" s="9">
        <v>17.782800000000002</v>
      </c>
      <c r="R606" s="9"/>
      <c r="S606" s="11"/>
    </row>
    <row r="607" spans="1:19" ht="15.75">
      <c r="A607" s="13">
        <v>59626</v>
      </c>
      <c r="B607" s="8">
        <f>CHOOSE( CONTROL!$C$32, 16.0753, 16.0742) * CHOOSE(CONTROL!$C$15, $D$11, 100%, $F$11)</f>
        <v>16.075299999999999</v>
      </c>
      <c r="C607" s="8">
        <f>CHOOSE( CONTROL!$C$32, 16.0803, 16.0793) * CHOOSE(CONTROL!$C$15, $D$11, 100%, $F$11)</f>
        <v>16.080300000000001</v>
      </c>
      <c r="D607" s="8">
        <f>CHOOSE( CONTROL!$C$32, 16.0583, 16.0572) * CHOOSE( CONTROL!$C$15, $D$11, 100%, $F$11)</f>
        <v>16.058299999999999</v>
      </c>
      <c r="E607" s="12">
        <f>CHOOSE( CONTROL!$C$32, 16.0658, 16.0647) * CHOOSE( CONTROL!$C$15, $D$11, 100%, $F$11)</f>
        <v>16.065799999999999</v>
      </c>
      <c r="F607" s="4">
        <f>CHOOSE( CONTROL!$C$32, 16.7406, 16.7395) * CHOOSE(CONTROL!$C$15, $D$11, 100%, $F$11)</f>
        <v>16.740600000000001</v>
      </c>
      <c r="G607" s="8">
        <f>CHOOSE( CONTROL!$C$32, 15.8886, 15.8875) * CHOOSE( CONTROL!$C$15, $D$11, 100%, $F$11)</f>
        <v>15.8886</v>
      </c>
      <c r="H607" s="4">
        <f>CHOOSE( CONTROL!$C$32, 16.7912, 16.7901) * CHOOSE(CONTROL!$C$15, $D$11, 100%, $F$11)</f>
        <v>16.7912</v>
      </c>
      <c r="I607" s="8">
        <f>CHOOSE( CONTROL!$C$32, 15.745, 15.744) * CHOOSE(CONTROL!$C$15, $D$11, 100%, $F$11)</f>
        <v>15.744999999999999</v>
      </c>
      <c r="J607" s="4">
        <f>CHOOSE( CONTROL!$C$32, 15.5923, 15.5912) * CHOOSE(CONTROL!$C$15, $D$11, 100%, $F$11)</f>
        <v>15.5923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59656</v>
      </c>
      <c r="B608" s="8">
        <f>CHOOSE( CONTROL!$C$32, 16.3202, 16.3191) * CHOOSE(CONTROL!$C$15, $D$11, 100%, $F$11)</f>
        <v>16.3202</v>
      </c>
      <c r="C608" s="8">
        <f>CHOOSE( CONTROL!$C$32, 16.3247, 16.3236) * CHOOSE(CONTROL!$C$15, $D$11, 100%, $F$11)</f>
        <v>16.3247</v>
      </c>
      <c r="D608" s="8">
        <f>CHOOSE( CONTROL!$C$32, 16.3276, 16.3265) * CHOOSE( CONTROL!$C$15, $D$11, 100%, $F$11)</f>
        <v>16.3276</v>
      </c>
      <c r="E608" s="12">
        <f>CHOOSE( CONTROL!$C$32, 16.3261, 16.325) * CHOOSE( CONTROL!$C$15, $D$11, 100%, $F$11)</f>
        <v>16.3261</v>
      </c>
      <c r="F608" s="4">
        <f>CHOOSE( CONTROL!$C$32, 17.0285, 17.0274) * CHOOSE(CONTROL!$C$15, $D$11, 100%, $F$11)</f>
        <v>17.028500000000001</v>
      </c>
      <c r="G608" s="8">
        <f>CHOOSE( CONTROL!$C$32, 16.1404, 16.1393) * CHOOSE( CONTROL!$C$15, $D$11, 100%, $F$11)</f>
        <v>16.1404</v>
      </c>
      <c r="H608" s="4">
        <f>CHOOSE( CONTROL!$C$32, 17.0757, 17.0747) * CHOOSE(CONTROL!$C$15, $D$11, 100%, $F$11)</f>
        <v>17.075700000000001</v>
      </c>
      <c r="I608" s="8">
        <f>CHOOSE( CONTROL!$C$32, 15.9544, 15.9533) * CHOOSE(CONTROL!$C$15, $D$11, 100%, $F$11)</f>
        <v>15.9544</v>
      </c>
      <c r="J608" s="4">
        <f>CHOOSE( CONTROL!$C$32, 15.8293, 15.8282) * CHOOSE(CONTROL!$C$15, $D$11, 100%, $F$11)</f>
        <v>15.8293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1.2509999999999999</v>
      </c>
      <c r="Q608" s="9">
        <v>19.053000000000001</v>
      </c>
      <c r="R608" s="9"/>
      <c r="S608" s="11"/>
    </row>
    <row r="609" spans="1:19" ht="15.75">
      <c r="A609" s="13">
        <v>59687</v>
      </c>
      <c r="B609" s="8">
        <f>CHOOSE( CONTROL!$C$32, 16.7567, 16.7551) * CHOOSE(CONTROL!$C$15, $D$11, 100%, $F$11)</f>
        <v>16.756699999999999</v>
      </c>
      <c r="C609" s="8">
        <f>CHOOSE( CONTROL!$C$32, 16.7647, 16.763) * CHOOSE(CONTROL!$C$15, $D$11, 100%, $F$11)</f>
        <v>16.764700000000001</v>
      </c>
      <c r="D609" s="8">
        <f>CHOOSE( CONTROL!$C$32, 16.7614, 16.7598) * CHOOSE( CONTROL!$C$15, $D$11, 100%, $F$11)</f>
        <v>16.761399999999998</v>
      </c>
      <c r="E609" s="12">
        <f>CHOOSE( CONTROL!$C$32, 16.7614, 16.7598) * CHOOSE( CONTROL!$C$15, $D$11, 100%, $F$11)</f>
        <v>16.761399999999998</v>
      </c>
      <c r="F609" s="4">
        <f>CHOOSE( CONTROL!$C$32, 17.4637, 17.462) * CHOOSE(CONTROL!$C$15, $D$11, 100%, $F$11)</f>
        <v>17.463699999999999</v>
      </c>
      <c r="G609" s="8">
        <f>CHOOSE( CONTROL!$C$32, 16.5703, 16.5687) * CHOOSE( CONTROL!$C$15, $D$11, 100%, $F$11)</f>
        <v>16.5703</v>
      </c>
      <c r="H609" s="4">
        <f>CHOOSE( CONTROL!$C$32, 17.5058, 17.5042) * CHOOSE(CONTROL!$C$15, $D$11, 100%, $F$11)</f>
        <v>17.505800000000001</v>
      </c>
      <c r="I609" s="8">
        <f>CHOOSE( CONTROL!$C$32, 16.3762, 16.3746) * CHOOSE(CONTROL!$C$15, $D$11, 100%, $F$11)</f>
        <v>16.376200000000001</v>
      </c>
      <c r="J609" s="4">
        <f>CHOOSE( CONTROL!$C$32, 16.2516, 16.25) * CHOOSE(CONTROL!$C$15, $D$11, 100%, $F$11)</f>
        <v>16.2516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1.2927</v>
      </c>
      <c r="Q609" s="9">
        <v>19.688099999999999</v>
      </c>
      <c r="R609" s="9"/>
      <c r="S609" s="11"/>
    </row>
    <row r="610" spans="1:19" ht="15.75">
      <c r="A610" s="13">
        <v>59717</v>
      </c>
      <c r="B610" s="8">
        <f>CHOOSE( CONTROL!$C$32, 16.4875, 16.4859) * CHOOSE(CONTROL!$C$15, $D$11, 100%, $F$11)</f>
        <v>16.487500000000001</v>
      </c>
      <c r="C610" s="8">
        <f>CHOOSE( CONTROL!$C$32, 16.4955, 16.4938) * CHOOSE(CONTROL!$C$15, $D$11, 100%, $F$11)</f>
        <v>16.4955</v>
      </c>
      <c r="D610" s="8">
        <f>CHOOSE( CONTROL!$C$32, 16.4925, 16.4908) * CHOOSE( CONTROL!$C$15, $D$11, 100%, $F$11)</f>
        <v>16.4925</v>
      </c>
      <c r="E610" s="12">
        <f>CHOOSE( CONTROL!$C$32, 16.4924, 16.4907) * CHOOSE( CONTROL!$C$15, $D$11, 100%, $F$11)</f>
        <v>16.4924</v>
      </c>
      <c r="F610" s="4">
        <f>CHOOSE( CONTROL!$C$32, 17.1945, 17.1928) * CHOOSE(CONTROL!$C$15, $D$11, 100%, $F$11)</f>
        <v>17.194500000000001</v>
      </c>
      <c r="G610" s="8">
        <f>CHOOSE( CONTROL!$C$32, 16.3044, 16.3028) * CHOOSE( CONTROL!$C$15, $D$11, 100%, $F$11)</f>
        <v>16.304400000000001</v>
      </c>
      <c r="H610" s="4">
        <f>CHOOSE( CONTROL!$C$32, 17.2397, 17.2381) * CHOOSE(CONTROL!$C$15, $D$11, 100%, $F$11)</f>
        <v>17.239699999999999</v>
      </c>
      <c r="I610" s="8">
        <f>CHOOSE( CONTROL!$C$32, 16.1156, 16.114) * CHOOSE(CONTROL!$C$15, $D$11, 100%, $F$11)</f>
        <v>16.115600000000001</v>
      </c>
      <c r="J610" s="4">
        <f>CHOOSE( CONTROL!$C$32, 15.9903, 15.9887) * CHOOSE(CONTROL!$C$15, $D$11, 100%, $F$11)</f>
        <v>15.9903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1.2509999999999999</v>
      </c>
      <c r="Q610" s="9">
        <v>19.053000000000001</v>
      </c>
      <c r="R610" s="9"/>
      <c r="S610" s="11"/>
    </row>
    <row r="611" spans="1:19" ht="15.75">
      <c r="A611" s="13">
        <v>59748</v>
      </c>
      <c r="B611" s="8">
        <f>CHOOSE( CONTROL!$C$32, 17.1964, 17.1948) * CHOOSE(CONTROL!$C$15, $D$11, 100%, $F$11)</f>
        <v>17.196400000000001</v>
      </c>
      <c r="C611" s="8">
        <f>CHOOSE( CONTROL!$C$32, 17.2044, 17.2027) * CHOOSE(CONTROL!$C$15, $D$11, 100%, $F$11)</f>
        <v>17.2044</v>
      </c>
      <c r="D611" s="8">
        <f>CHOOSE( CONTROL!$C$32, 17.2016, 17.2) * CHOOSE( CONTROL!$C$15, $D$11, 100%, $F$11)</f>
        <v>17.201599999999999</v>
      </c>
      <c r="E611" s="12">
        <f>CHOOSE( CONTROL!$C$32, 17.2014, 17.1998) * CHOOSE( CONTROL!$C$15, $D$11, 100%, $F$11)</f>
        <v>17.2014</v>
      </c>
      <c r="F611" s="4">
        <f>CHOOSE( CONTROL!$C$32, 17.9034, 17.9017) * CHOOSE(CONTROL!$C$15, $D$11, 100%, $F$11)</f>
        <v>17.903400000000001</v>
      </c>
      <c r="G611" s="8">
        <f>CHOOSE( CONTROL!$C$32, 17.0052, 17.0036) * CHOOSE( CONTROL!$C$15, $D$11, 100%, $F$11)</f>
        <v>17.005199999999999</v>
      </c>
      <c r="H611" s="4">
        <f>CHOOSE( CONTROL!$C$32, 17.9404, 17.9387) * CHOOSE(CONTROL!$C$15, $D$11, 100%, $F$11)</f>
        <v>17.9404</v>
      </c>
      <c r="I611" s="8">
        <f>CHOOSE( CONTROL!$C$32, 16.8047, 16.8031) * CHOOSE(CONTROL!$C$15, $D$11, 100%, $F$11)</f>
        <v>16.8047</v>
      </c>
      <c r="J611" s="4">
        <f>CHOOSE( CONTROL!$C$32, 16.6783, 16.6767) * CHOOSE(CONTROL!$C$15, $D$11, 100%, $F$11)</f>
        <v>16.6783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1.2927</v>
      </c>
      <c r="Q611" s="9">
        <v>19.688099999999999</v>
      </c>
      <c r="R611" s="9"/>
      <c r="S611" s="11"/>
    </row>
    <row r="612" spans="1:19" ht="15.75">
      <c r="A612" s="13">
        <v>59779</v>
      </c>
      <c r="B612" s="8">
        <f>CHOOSE( CONTROL!$C$32, 15.87, 15.8683) * CHOOSE(CONTROL!$C$15, $D$11, 100%, $F$11)</f>
        <v>15.87</v>
      </c>
      <c r="C612" s="8">
        <f>CHOOSE( CONTROL!$C$32, 15.878, 15.8763) * CHOOSE(CONTROL!$C$15, $D$11, 100%, $F$11)</f>
        <v>15.878</v>
      </c>
      <c r="D612" s="8">
        <f>CHOOSE( CONTROL!$C$32, 15.8753, 15.8736) * CHOOSE( CONTROL!$C$15, $D$11, 100%, $F$11)</f>
        <v>15.875299999999999</v>
      </c>
      <c r="E612" s="12">
        <f>CHOOSE( CONTROL!$C$32, 15.8751, 15.8734) * CHOOSE( CONTROL!$C$15, $D$11, 100%, $F$11)</f>
        <v>15.8751</v>
      </c>
      <c r="F612" s="4">
        <f>CHOOSE( CONTROL!$C$32, 16.5769, 16.5753) * CHOOSE(CONTROL!$C$15, $D$11, 100%, $F$11)</f>
        <v>16.576899999999998</v>
      </c>
      <c r="G612" s="8">
        <f>CHOOSE( CONTROL!$C$32, 15.6944, 15.6927) * CHOOSE( CONTROL!$C$15, $D$11, 100%, $F$11)</f>
        <v>15.6944</v>
      </c>
      <c r="H612" s="4">
        <f>CHOOSE( CONTROL!$C$32, 16.6294, 16.6278) * CHOOSE(CONTROL!$C$15, $D$11, 100%, $F$11)</f>
        <v>16.6294</v>
      </c>
      <c r="I612" s="8">
        <f>CHOOSE( CONTROL!$C$32, 15.5171, 15.5155) * CHOOSE(CONTROL!$C$15, $D$11, 100%, $F$11)</f>
        <v>15.517099999999999</v>
      </c>
      <c r="J612" s="4">
        <f>CHOOSE( CONTROL!$C$32, 15.391, 15.3894) * CHOOSE(CONTROL!$C$15, $D$11, 100%, $F$11)</f>
        <v>15.391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1.2927</v>
      </c>
      <c r="Q612" s="9">
        <v>19.688099999999999</v>
      </c>
      <c r="R612" s="9"/>
      <c r="S612" s="11"/>
    </row>
    <row r="613" spans="1:19" ht="15.75">
      <c r="A613" s="13">
        <v>59809</v>
      </c>
      <c r="B613" s="8">
        <f>CHOOSE( CONTROL!$C$32, 15.5378, 15.5362) * CHOOSE(CONTROL!$C$15, $D$11, 100%, $F$11)</f>
        <v>15.537800000000001</v>
      </c>
      <c r="C613" s="8">
        <f>CHOOSE( CONTROL!$C$32, 15.5458, 15.5441) * CHOOSE(CONTROL!$C$15, $D$11, 100%, $F$11)</f>
        <v>15.5458</v>
      </c>
      <c r="D613" s="8">
        <f>CHOOSE( CONTROL!$C$32, 15.5431, 15.5414) * CHOOSE( CONTROL!$C$15, $D$11, 100%, $F$11)</f>
        <v>15.543100000000001</v>
      </c>
      <c r="E613" s="12">
        <f>CHOOSE( CONTROL!$C$32, 15.5429, 15.5412) * CHOOSE( CONTROL!$C$15, $D$11, 100%, $F$11)</f>
        <v>15.542899999999999</v>
      </c>
      <c r="F613" s="4">
        <f>CHOOSE( CONTROL!$C$32, 16.2448, 16.2431) * CHOOSE(CONTROL!$C$15, $D$11, 100%, $F$11)</f>
        <v>16.244800000000001</v>
      </c>
      <c r="G613" s="8">
        <f>CHOOSE( CONTROL!$C$32, 15.3661, 15.3644) * CHOOSE( CONTROL!$C$15, $D$11, 100%, $F$11)</f>
        <v>15.366099999999999</v>
      </c>
      <c r="H613" s="4">
        <f>CHOOSE( CONTROL!$C$32, 16.3012, 16.2995) * CHOOSE(CONTROL!$C$15, $D$11, 100%, $F$11)</f>
        <v>16.301200000000001</v>
      </c>
      <c r="I613" s="8">
        <f>CHOOSE( CONTROL!$C$32, 15.1944, 15.1928) * CHOOSE(CONTROL!$C$15, $D$11, 100%, $F$11)</f>
        <v>15.1944</v>
      </c>
      <c r="J613" s="4">
        <f>CHOOSE( CONTROL!$C$32, 15.0686, 15.067) * CHOOSE(CONTROL!$C$15, $D$11, 100%, $F$11)</f>
        <v>15.0686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1.2509999999999999</v>
      </c>
      <c r="Q613" s="9">
        <v>19.053000000000001</v>
      </c>
      <c r="R613" s="9"/>
      <c r="S613" s="11"/>
    </row>
    <row r="614" spans="1:19" ht="15.75">
      <c r="A614" s="13">
        <v>59840</v>
      </c>
      <c r="B614" s="8">
        <f>CHOOSE( CONTROL!$C$32, 16.2252, 16.2241) * CHOOSE(CONTROL!$C$15, $D$11, 100%, $F$11)</f>
        <v>16.225200000000001</v>
      </c>
      <c r="C614" s="8">
        <f>CHOOSE( CONTROL!$C$32, 16.2305, 16.2294) * CHOOSE(CONTROL!$C$15, $D$11, 100%, $F$11)</f>
        <v>16.230499999999999</v>
      </c>
      <c r="D614" s="8">
        <f>CHOOSE( CONTROL!$C$32, 16.2334, 16.2324) * CHOOSE( CONTROL!$C$15, $D$11, 100%, $F$11)</f>
        <v>16.2334</v>
      </c>
      <c r="E614" s="12">
        <f>CHOOSE( CONTROL!$C$32, 16.2319, 16.2308) * CHOOSE( CONTROL!$C$15, $D$11, 100%, $F$11)</f>
        <v>16.2319</v>
      </c>
      <c r="F614" s="4">
        <f>CHOOSE( CONTROL!$C$32, 16.9339, 16.9328) * CHOOSE(CONTROL!$C$15, $D$11, 100%, $F$11)</f>
        <v>16.933900000000001</v>
      </c>
      <c r="G614" s="8">
        <f>CHOOSE( CONTROL!$C$32, 16.0473, 16.0462) * CHOOSE( CONTROL!$C$15, $D$11, 100%, $F$11)</f>
        <v>16.0473</v>
      </c>
      <c r="H614" s="4">
        <f>CHOOSE( CONTROL!$C$32, 16.9822, 16.9811) * CHOOSE(CONTROL!$C$15, $D$11, 100%, $F$11)</f>
        <v>16.982199999999999</v>
      </c>
      <c r="I614" s="8">
        <f>CHOOSE( CONTROL!$C$32, 15.8643, 15.8633) * CHOOSE(CONTROL!$C$15, $D$11, 100%, $F$11)</f>
        <v>15.8643</v>
      </c>
      <c r="J614" s="4">
        <f>CHOOSE( CONTROL!$C$32, 15.7374, 15.7364) * CHOOSE(CONTROL!$C$15, $D$11, 100%, $F$11)</f>
        <v>15.737399999999999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1.2927</v>
      </c>
      <c r="Q614" s="9">
        <v>19.688099999999999</v>
      </c>
      <c r="R614" s="9"/>
      <c r="S614" s="11"/>
    </row>
    <row r="615" spans="1:19" ht="15.75">
      <c r="A615" s="13">
        <v>59870</v>
      </c>
      <c r="B615" s="8">
        <f>CHOOSE( CONTROL!$C$32, 17.4978, 17.4967) * CHOOSE(CONTROL!$C$15, $D$11, 100%, $F$11)</f>
        <v>17.497800000000002</v>
      </c>
      <c r="C615" s="8">
        <f>CHOOSE( CONTROL!$C$32, 17.5029, 17.5018) * CHOOSE(CONTROL!$C$15, $D$11, 100%, $F$11)</f>
        <v>17.5029</v>
      </c>
      <c r="D615" s="8">
        <f>CHOOSE( CONTROL!$C$32, 17.485, 17.484) * CHOOSE( CONTROL!$C$15, $D$11, 100%, $F$11)</f>
        <v>17.484999999999999</v>
      </c>
      <c r="E615" s="12">
        <f>CHOOSE( CONTROL!$C$32, 17.491, 17.49) * CHOOSE( CONTROL!$C$15, $D$11, 100%, $F$11)</f>
        <v>17.491</v>
      </c>
      <c r="F615" s="4">
        <f>CHOOSE( CONTROL!$C$32, 18.1631, 18.162) * CHOOSE(CONTROL!$C$15, $D$11, 100%, $F$11)</f>
        <v>18.1631</v>
      </c>
      <c r="G615" s="8">
        <f>CHOOSE( CONTROL!$C$32, 17.3045, 17.3034) * CHOOSE( CONTROL!$C$15, $D$11, 100%, $F$11)</f>
        <v>17.304500000000001</v>
      </c>
      <c r="H615" s="4">
        <f>CHOOSE( CONTROL!$C$32, 18.197, 18.1959) * CHOOSE(CONTROL!$C$15, $D$11, 100%, $F$11)</f>
        <v>18.196999999999999</v>
      </c>
      <c r="I615" s="8">
        <f>CHOOSE( CONTROL!$C$32, 17.1622, 17.1611) * CHOOSE(CONTROL!$C$15, $D$11, 100%, $F$11)</f>
        <v>17.162199999999999</v>
      </c>
      <c r="J615" s="4">
        <f>CHOOSE( CONTROL!$C$32, 16.9729, 16.9718) * CHOOSE(CONTROL!$C$15, $D$11, 100%, $F$11)</f>
        <v>16.972899999999999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59901</v>
      </c>
      <c r="B616" s="8">
        <f>CHOOSE( CONTROL!$C$32, 17.466, 17.4649) * CHOOSE(CONTROL!$C$15, $D$11, 100%, $F$11)</f>
        <v>17.466000000000001</v>
      </c>
      <c r="C616" s="8">
        <f>CHOOSE( CONTROL!$C$32, 17.4711, 17.47) * CHOOSE(CONTROL!$C$15, $D$11, 100%, $F$11)</f>
        <v>17.4711</v>
      </c>
      <c r="D616" s="8">
        <f>CHOOSE( CONTROL!$C$32, 17.4547, 17.4536) * CHOOSE( CONTROL!$C$15, $D$11, 100%, $F$11)</f>
        <v>17.454699999999999</v>
      </c>
      <c r="E616" s="12">
        <f>CHOOSE( CONTROL!$C$32, 17.4602, 17.4591) * CHOOSE( CONTROL!$C$15, $D$11, 100%, $F$11)</f>
        <v>17.4602</v>
      </c>
      <c r="F616" s="4">
        <f>CHOOSE( CONTROL!$C$32, 18.1313, 18.1302) * CHOOSE(CONTROL!$C$15, $D$11, 100%, $F$11)</f>
        <v>18.1313</v>
      </c>
      <c r="G616" s="8">
        <f>CHOOSE( CONTROL!$C$32, 17.2741, 17.273) * CHOOSE( CONTROL!$C$15, $D$11, 100%, $F$11)</f>
        <v>17.274100000000001</v>
      </c>
      <c r="H616" s="4">
        <f>CHOOSE( CONTROL!$C$32, 18.1656, 18.1645) * CHOOSE(CONTROL!$C$15, $D$11, 100%, $F$11)</f>
        <v>18.165600000000001</v>
      </c>
      <c r="I616" s="8">
        <f>CHOOSE( CONTROL!$C$32, 17.1358, 17.1347) * CHOOSE(CONTROL!$C$15, $D$11, 100%, $F$11)</f>
        <v>17.1358</v>
      </c>
      <c r="J616" s="4">
        <f>CHOOSE( CONTROL!$C$32, 16.942, 16.9409) * CHOOSE(CONTROL!$C$15, $D$11, 100%, $F$11)</f>
        <v>16.942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59932</v>
      </c>
      <c r="B617" s="8">
        <f>CHOOSE( CONTROL!$C$32, 17.9809, 17.9798) * CHOOSE(CONTROL!$C$15, $D$11, 100%, $F$11)</f>
        <v>17.980899999999998</v>
      </c>
      <c r="C617" s="8">
        <f>CHOOSE( CONTROL!$C$32, 17.986, 17.9849) * CHOOSE(CONTROL!$C$15, $D$11, 100%, $F$11)</f>
        <v>17.986000000000001</v>
      </c>
      <c r="D617" s="8">
        <f>CHOOSE( CONTROL!$C$32, 17.9647, 17.9636) * CHOOSE( CONTROL!$C$15, $D$11, 100%, $F$11)</f>
        <v>17.964700000000001</v>
      </c>
      <c r="E617" s="12">
        <f>CHOOSE( CONTROL!$C$32, 17.9719, 17.9708) * CHOOSE( CONTROL!$C$15, $D$11, 100%, $F$11)</f>
        <v>17.971900000000002</v>
      </c>
      <c r="F617" s="4">
        <f>CHOOSE( CONTROL!$C$32, 18.6462, 18.6451) * CHOOSE(CONTROL!$C$15, $D$11, 100%, $F$11)</f>
        <v>18.6462</v>
      </c>
      <c r="G617" s="8">
        <f>CHOOSE( CONTROL!$C$32, 17.7724, 17.7714) * CHOOSE( CONTROL!$C$15, $D$11, 100%, $F$11)</f>
        <v>17.772400000000001</v>
      </c>
      <c r="H617" s="4">
        <f>CHOOSE( CONTROL!$C$32, 18.6744, 18.6734) * CHOOSE(CONTROL!$C$15, $D$11, 100%, $F$11)</f>
        <v>18.674399999999999</v>
      </c>
      <c r="I617" s="8">
        <f>CHOOSE( CONTROL!$C$32, 17.5978, 17.5967) * CHOOSE(CONTROL!$C$15, $D$11, 100%, $F$11)</f>
        <v>17.597799999999999</v>
      </c>
      <c r="J617" s="4">
        <f>CHOOSE( CONTROL!$C$32, 17.4417, 17.4406) * CHOOSE(CONTROL!$C$15, $D$11, 100%, $F$11)</f>
        <v>17.441700000000001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59961</v>
      </c>
      <c r="B618" s="8">
        <f>CHOOSE( CONTROL!$C$32, 16.8191, 16.818) * CHOOSE(CONTROL!$C$15, $D$11, 100%, $F$11)</f>
        <v>16.819099999999999</v>
      </c>
      <c r="C618" s="8">
        <f>CHOOSE( CONTROL!$C$32, 16.8242, 16.8231) * CHOOSE(CONTROL!$C$15, $D$11, 100%, $F$11)</f>
        <v>16.824200000000001</v>
      </c>
      <c r="D618" s="8">
        <f>CHOOSE( CONTROL!$C$32, 16.8028, 16.8017) * CHOOSE( CONTROL!$C$15, $D$11, 100%, $F$11)</f>
        <v>16.802800000000001</v>
      </c>
      <c r="E618" s="12">
        <f>CHOOSE( CONTROL!$C$32, 16.8101, 16.809) * CHOOSE( CONTROL!$C$15, $D$11, 100%, $F$11)</f>
        <v>16.810099999999998</v>
      </c>
      <c r="F618" s="4">
        <f>CHOOSE( CONTROL!$C$32, 17.4844, 17.4833) * CHOOSE(CONTROL!$C$15, $D$11, 100%, $F$11)</f>
        <v>17.484400000000001</v>
      </c>
      <c r="G618" s="8">
        <f>CHOOSE( CONTROL!$C$32, 16.6242, 16.6231) * CHOOSE( CONTROL!$C$15, $D$11, 100%, $F$11)</f>
        <v>16.624199999999998</v>
      </c>
      <c r="H618" s="4">
        <f>CHOOSE( CONTROL!$C$32, 17.5263, 17.5252) * CHOOSE(CONTROL!$C$15, $D$11, 100%, $F$11)</f>
        <v>17.526299999999999</v>
      </c>
      <c r="I618" s="8">
        <f>CHOOSE( CONTROL!$C$32, 16.4693, 16.4682) * CHOOSE(CONTROL!$C$15, $D$11, 100%, $F$11)</f>
        <v>16.4693</v>
      </c>
      <c r="J618" s="4">
        <f>CHOOSE( CONTROL!$C$32, 16.3142, 16.3131) * CHOOSE(CONTROL!$C$15, $D$11, 100%, $F$11)</f>
        <v>16.3142</v>
      </c>
      <c r="K618" s="4"/>
      <c r="L618" s="9">
        <v>27.415299999999998</v>
      </c>
      <c r="M618" s="9">
        <v>11.285299999999999</v>
      </c>
      <c r="N618" s="9">
        <v>4.6254999999999997</v>
      </c>
      <c r="O618" s="9">
        <v>0.34989999999999999</v>
      </c>
      <c r="P618" s="9">
        <v>1.2093</v>
      </c>
      <c r="Q618" s="9">
        <v>18.417899999999999</v>
      </c>
      <c r="R618" s="9"/>
      <c r="S618" s="11"/>
    </row>
    <row r="619" spans="1:19" ht="15.75">
      <c r="A619" s="13">
        <v>59992</v>
      </c>
      <c r="B619" s="8">
        <f>CHOOSE( CONTROL!$C$32, 16.4613, 16.4602) * CHOOSE(CONTROL!$C$15, $D$11, 100%, $F$11)</f>
        <v>16.461300000000001</v>
      </c>
      <c r="C619" s="8">
        <f>CHOOSE( CONTROL!$C$32, 16.4664, 16.4653) * CHOOSE(CONTROL!$C$15, $D$11, 100%, $F$11)</f>
        <v>16.4664</v>
      </c>
      <c r="D619" s="8">
        <f>CHOOSE( CONTROL!$C$32, 16.4443, 16.4432) * CHOOSE( CONTROL!$C$15, $D$11, 100%, $F$11)</f>
        <v>16.444299999999998</v>
      </c>
      <c r="E619" s="12">
        <f>CHOOSE( CONTROL!$C$32, 16.4518, 16.4507) * CHOOSE( CONTROL!$C$15, $D$11, 100%, $F$11)</f>
        <v>16.451799999999999</v>
      </c>
      <c r="F619" s="4">
        <f>CHOOSE( CONTROL!$C$32, 17.1266, 17.1255) * CHOOSE(CONTROL!$C$15, $D$11, 100%, $F$11)</f>
        <v>17.1266</v>
      </c>
      <c r="G619" s="8">
        <f>CHOOSE( CONTROL!$C$32, 16.2701, 16.269) * CHOOSE( CONTROL!$C$15, $D$11, 100%, $F$11)</f>
        <v>16.270099999999999</v>
      </c>
      <c r="H619" s="4">
        <f>CHOOSE( CONTROL!$C$32, 17.1726, 17.1716) * CHOOSE(CONTROL!$C$15, $D$11, 100%, $F$11)</f>
        <v>17.172599999999999</v>
      </c>
      <c r="I619" s="8">
        <f>CHOOSE( CONTROL!$C$32, 16.1198, 16.1188) * CHOOSE(CONTROL!$C$15, $D$11, 100%, $F$11)</f>
        <v>16.119800000000001</v>
      </c>
      <c r="J619" s="4">
        <f>CHOOSE( CONTROL!$C$32, 15.9669, 15.9659) * CHOOSE(CONTROL!$C$15, $D$11, 100%, $F$11)</f>
        <v>15.966900000000001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60022</v>
      </c>
      <c r="B620" s="8">
        <f>CHOOSE( CONTROL!$C$32, 16.7121, 16.711) * CHOOSE(CONTROL!$C$15, $D$11, 100%, $F$11)</f>
        <v>16.7121</v>
      </c>
      <c r="C620" s="8">
        <f>CHOOSE( CONTROL!$C$32, 16.7166, 16.7155) * CHOOSE(CONTROL!$C$15, $D$11, 100%, $F$11)</f>
        <v>16.7166</v>
      </c>
      <c r="D620" s="8">
        <f>CHOOSE( CONTROL!$C$32, 16.7194, 16.7184) * CHOOSE( CONTROL!$C$15, $D$11, 100%, $F$11)</f>
        <v>16.7194</v>
      </c>
      <c r="E620" s="12">
        <f>CHOOSE( CONTROL!$C$32, 16.718, 16.7169) * CHOOSE( CONTROL!$C$15, $D$11, 100%, $F$11)</f>
        <v>16.718</v>
      </c>
      <c r="F620" s="4">
        <f>CHOOSE( CONTROL!$C$32, 17.4204, 17.4193) * CHOOSE(CONTROL!$C$15, $D$11, 100%, $F$11)</f>
        <v>17.420400000000001</v>
      </c>
      <c r="G620" s="8">
        <f>CHOOSE( CONTROL!$C$32, 16.5277, 16.5266) * CHOOSE( CONTROL!$C$15, $D$11, 100%, $F$11)</f>
        <v>16.527699999999999</v>
      </c>
      <c r="H620" s="4">
        <f>CHOOSE( CONTROL!$C$32, 17.463, 17.462) * CHOOSE(CONTROL!$C$15, $D$11, 100%, $F$11)</f>
        <v>17.463000000000001</v>
      </c>
      <c r="I620" s="8">
        <f>CHOOSE( CONTROL!$C$32, 16.3349, 16.3338) * CHOOSE(CONTROL!$C$15, $D$11, 100%, $F$11)</f>
        <v>16.334900000000001</v>
      </c>
      <c r="J620" s="4">
        <f>CHOOSE( CONTROL!$C$32, 16.2096, 16.2085) * CHOOSE(CONTROL!$C$15, $D$11, 100%, $F$11)</f>
        <v>16.209599999999998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1.2509999999999999</v>
      </c>
      <c r="Q620" s="9">
        <v>19.053000000000001</v>
      </c>
      <c r="R620" s="9"/>
      <c r="S620" s="11"/>
    </row>
    <row r="621" spans="1:19" ht="15.75">
      <c r="A621" s="13">
        <v>60053</v>
      </c>
      <c r="B621" s="8">
        <f>CHOOSE( CONTROL!$C$32, 17.159, 17.1574) * CHOOSE(CONTROL!$C$15, $D$11, 100%, $F$11)</f>
        <v>17.158999999999999</v>
      </c>
      <c r="C621" s="8">
        <f>CHOOSE( CONTROL!$C$32, 17.167, 17.1654) * CHOOSE(CONTROL!$C$15, $D$11, 100%, $F$11)</f>
        <v>17.167000000000002</v>
      </c>
      <c r="D621" s="8">
        <f>CHOOSE( CONTROL!$C$32, 17.1638, 17.1621) * CHOOSE( CONTROL!$C$15, $D$11, 100%, $F$11)</f>
        <v>17.163799999999998</v>
      </c>
      <c r="E621" s="12">
        <f>CHOOSE( CONTROL!$C$32, 17.1637, 17.1621) * CHOOSE( CONTROL!$C$15, $D$11, 100%, $F$11)</f>
        <v>17.163699999999999</v>
      </c>
      <c r="F621" s="4">
        <f>CHOOSE( CONTROL!$C$32, 17.866, 17.8643) * CHOOSE(CONTROL!$C$15, $D$11, 100%, $F$11)</f>
        <v>17.866</v>
      </c>
      <c r="G621" s="8">
        <f>CHOOSE( CONTROL!$C$32, 16.9679, 16.9663) * CHOOSE( CONTROL!$C$15, $D$11, 100%, $F$11)</f>
        <v>16.9679</v>
      </c>
      <c r="H621" s="4">
        <f>CHOOSE( CONTROL!$C$32, 17.9034, 17.9018) * CHOOSE(CONTROL!$C$15, $D$11, 100%, $F$11)</f>
        <v>17.903400000000001</v>
      </c>
      <c r="I621" s="8">
        <f>CHOOSE( CONTROL!$C$32, 16.7668, 16.7652) * CHOOSE(CONTROL!$C$15, $D$11, 100%, $F$11)</f>
        <v>16.7668</v>
      </c>
      <c r="J621" s="4">
        <f>CHOOSE( CONTROL!$C$32, 16.642, 16.6404) * CHOOSE(CONTROL!$C$15, $D$11, 100%, $F$11)</f>
        <v>16.641999999999999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1.2927</v>
      </c>
      <c r="Q621" s="9">
        <v>19.688099999999999</v>
      </c>
      <c r="R621" s="9"/>
      <c r="S621" s="11"/>
    </row>
    <row r="622" spans="1:19" ht="15.75">
      <c r="A622" s="13">
        <v>60083</v>
      </c>
      <c r="B622" s="8">
        <f>CHOOSE( CONTROL!$C$32, 16.8834, 16.8817) * CHOOSE(CONTROL!$C$15, $D$11, 100%, $F$11)</f>
        <v>16.883400000000002</v>
      </c>
      <c r="C622" s="8">
        <f>CHOOSE( CONTROL!$C$32, 16.8913, 16.8897) * CHOOSE(CONTROL!$C$15, $D$11, 100%, $F$11)</f>
        <v>16.891300000000001</v>
      </c>
      <c r="D622" s="8">
        <f>CHOOSE( CONTROL!$C$32, 16.8883, 16.8866) * CHOOSE( CONTROL!$C$15, $D$11, 100%, $F$11)</f>
        <v>16.888300000000001</v>
      </c>
      <c r="E622" s="12">
        <f>CHOOSE( CONTROL!$C$32, 16.8882, 16.8865) * CHOOSE( CONTROL!$C$15, $D$11, 100%, $F$11)</f>
        <v>16.888200000000001</v>
      </c>
      <c r="F622" s="4">
        <f>CHOOSE( CONTROL!$C$32, 17.5903, 17.5886) * CHOOSE(CONTROL!$C$15, $D$11, 100%, $F$11)</f>
        <v>17.590299999999999</v>
      </c>
      <c r="G622" s="8">
        <f>CHOOSE( CONTROL!$C$32, 16.6956, 16.694) * CHOOSE( CONTROL!$C$15, $D$11, 100%, $F$11)</f>
        <v>16.695599999999999</v>
      </c>
      <c r="H622" s="4">
        <f>CHOOSE( CONTROL!$C$32, 17.631, 17.6293) * CHOOSE(CONTROL!$C$15, $D$11, 100%, $F$11)</f>
        <v>17.631</v>
      </c>
      <c r="I622" s="8">
        <f>CHOOSE( CONTROL!$C$32, 16.4999, 16.4983) * CHOOSE(CONTROL!$C$15, $D$11, 100%, $F$11)</f>
        <v>16.4999</v>
      </c>
      <c r="J622" s="4">
        <f>CHOOSE( CONTROL!$C$32, 16.3745, 16.3729) * CHOOSE(CONTROL!$C$15, $D$11, 100%, $F$11)</f>
        <v>16.374500000000001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1.2509999999999999</v>
      </c>
      <c r="Q622" s="9">
        <v>19.053000000000001</v>
      </c>
      <c r="R622" s="9"/>
      <c r="S622" s="11"/>
    </row>
    <row r="623" spans="1:19" ht="15.75">
      <c r="A623" s="13">
        <v>60114</v>
      </c>
      <c r="B623" s="8">
        <f>CHOOSE( CONTROL!$C$32, 17.6093, 17.6077) * CHOOSE(CONTROL!$C$15, $D$11, 100%, $F$11)</f>
        <v>17.609300000000001</v>
      </c>
      <c r="C623" s="8">
        <f>CHOOSE( CONTROL!$C$32, 17.6173, 17.6156) * CHOOSE(CONTROL!$C$15, $D$11, 100%, $F$11)</f>
        <v>17.6173</v>
      </c>
      <c r="D623" s="8">
        <f>CHOOSE( CONTROL!$C$32, 17.6145, 17.6128) * CHOOSE( CONTROL!$C$15, $D$11, 100%, $F$11)</f>
        <v>17.6145</v>
      </c>
      <c r="E623" s="12">
        <f>CHOOSE( CONTROL!$C$32, 17.6143, 17.6126) * CHOOSE( CONTROL!$C$15, $D$11, 100%, $F$11)</f>
        <v>17.6143</v>
      </c>
      <c r="F623" s="4">
        <f>CHOOSE( CONTROL!$C$32, 18.3163, 18.3146) * CHOOSE(CONTROL!$C$15, $D$11, 100%, $F$11)</f>
        <v>18.316299999999998</v>
      </c>
      <c r="G623" s="8">
        <f>CHOOSE( CONTROL!$C$32, 17.4133, 17.4116) * CHOOSE( CONTROL!$C$15, $D$11, 100%, $F$11)</f>
        <v>17.4133</v>
      </c>
      <c r="H623" s="4">
        <f>CHOOSE( CONTROL!$C$32, 18.3484, 18.3468) * CHOOSE(CONTROL!$C$15, $D$11, 100%, $F$11)</f>
        <v>18.348400000000002</v>
      </c>
      <c r="I623" s="8">
        <f>CHOOSE( CONTROL!$C$32, 17.2056, 17.204) * CHOOSE(CONTROL!$C$15, $D$11, 100%, $F$11)</f>
        <v>17.2056</v>
      </c>
      <c r="J623" s="4">
        <f>CHOOSE( CONTROL!$C$32, 17.079, 17.0774) * CHOOSE(CONTROL!$C$15, $D$11, 100%, $F$11)</f>
        <v>17.079000000000001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1.2927</v>
      </c>
      <c r="Q623" s="9">
        <v>19.688099999999999</v>
      </c>
      <c r="R623" s="9"/>
      <c r="S623" s="11"/>
    </row>
    <row r="624" spans="1:19" ht="15.75">
      <c r="A624" s="13">
        <v>60145</v>
      </c>
      <c r="B624" s="8">
        <f>CHOOSE( CONTROL!$C$32, 16.251, 16.2493) * CHOOSE(CONTROL!$C$15, $D$11, 100%, $F$11)</f>
        <v>16.251000000000001</v>
      </c>
      <c r="C624" s="8">
        <f>CHOOSE( CONTROL!$C$32, 16.259, 16.2573) * CHOOSE(CONTROL!$C$15, $D$11, 100%, $F$11)</f>
        <v>16.259</v>
      </c>
      <c r="D624" s="8">
        <f>CHOOSE( CONTROL!$C$32, 16.2563, 16.2546) * CHOOSE( CONTROL!$C$15, $D$11, 100%, $F$11)</f>
        <v>16.2563</v>
      </c>
      <c r="E624" s="12">
        <f>CHOOSE( CONTROL!$C$32, 16.2561, 16.2544) * CHOOSE( CONTROL!$C$15, $D$11, 100%, $F$11)</f>
        <v>16.2561</v>
      </c>
      <c r="F624" s="4">
        <f>CHOOSE( CONTROL!$C$32, 16.9579, 16.9563) * CHOOSE(CONTROL!$C$15, $D$11, 100%, $F$11)</f>
        <v>16.957899999999999</v>
      </c>
      <c r="G624" s="8">
        <f>CHOOSE( CONTROL!$C$32, 16.0709, 16.0693) * CHOOSE( CONTROL!$C$15, $D$11, 100%, $F$11)</f>
        <v>16.070900000000002</v>
      </c>
      <c r="H624" s="4">
        <f>CHOOSE( CONTROL!$C$32, 17.006, 17.0043) * CHOOSE(CONTROL!$C$15, $D$11, 100%, $F$11)</f>
        <v>17.006</v>
      </c>
      <c r="I624" s="8">
        <f>CHOOSE( CONTROL!$C$32, 15.8871, 15.8855) * CHOOSE(CONTROL!$C$15, $D$11, 100%, $F$11)</f>
        <v>15.8871</v>
      </c>
      <c r="J624" s="4">
        <f>CHOOSE( CONTROL!$C$32, 15.7608, 15.7592) * CHOOSE(CONTROL!$C$15, $D$11, 100%, $F$11)</f>
        <v>15.7608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1.2927</v>
      </c>
      <c r="Q624" s="9">
        <v>19.688099999999999</v>
      </c>
      <c r="R624" s="9"/>
      <c r="S624" s="11"/>
    </row>
    <row r="625" spans="1:19" ht="15.75">
      <c r="A625" s="13">
        <v>60175</v>
      </c>
      <c r="B625" s="8">
        <f>CHOOSE( CONTROL!$C$32, 15.9108, 15.9092) * CHOOSE(CONTROL!$C$15, $D$11, 100%, $F$11)</f>
        <v>15.9108</v>
      </c>
      <c r="C625" s="8">
        <f>CHOOSE( CONTROL!$C$32, 15.9188, 15.9172) * CHOOSE(CONTROL!$C$15, $D$11, 100%, $F$11)</f>
        <v>15.918799999999999</v>
      </c>
      <c r="D625" s="8">
        <f>CHOOSE( CONTROL!$C$32, 15.9161, 15.9144) * CHOOSE( CONTROL!$C$15, $D$11, 100%, $F$11)</f>
        <v>15.9161</v>
      </c>
      <c r="E625" s="12">
        <f>CHOOSE( CONTROL!$C$32, 15.9159, 15.9142) * CHOOSE( CONTROL!$C$15, $D$11, 100%, $F$11)</f>
        <v>15.915900000000001</v>
      </c>
      <c r="F625" s="4">
        <f>CHOOSE( CONTROL!$C$32, 16.6178, 16.6161) * CHOOSE(CONTROL!$C$15, $D$11, 100%, $F$11)</f>
        <v>16.617799999999999</v>
      </c>
      <c r="G625" s="8">
        <f>CHOOSE( CONTROL!$C$32, 15.7347, 15.7331) * CHOOSE( CONTROL!$C$15, $D$11, 100%, $F$11)</f>
        <v>15.7347</v>
      </c>
      <c r="H625" s="4">
        <f>CHOOSE( CONTROL!$C$32, 16.6698, 16.6682) * CHOOSE(CONTROL!$C$15, $D$11, 100%, $F$11)</f>
        <v>16.669799999999999</v>
      </c>
      <c r="I625" s="8">
        <f>CHOOSE( CONTROL!$C$32, 15.5566, 15.555) * CHOOSE(CONTROL!$C$15, $D$11, 100%, $F$11)</f>
        <v>15.5566</v>
      </c>
      <c r="J625" s="4">
        <f>CHOOSE( CONTROL!$C$32, 15.4307, 15.4291) * CHOOSE(CONTROL!$C$15, $D$11, 100%, $F$11)</f>
        <v>15.4307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1.2509999999999999</v>
      </c>
      <c r="Q625" s="9">
        <v>19.053000000000001</v>
      </c>
      <c r="R625" s="9"/>
      <c r="S625" s="11"/>
    </row>
    <row r="626" spans="1:19" ht="15.75">
      <c r="A626" s="13">
        <v>60206</v>
      </c>
      <c r="B626" s="8">
        <f>CHOOSE( CONTROL!$C$32, 16.6148, 16.6137) * CHOOSE(CONTROL!$C$15, $D$11, 100%, $F$11)</f>
        <v>16.614799999999999</v>
      </c>
      <c r="C626" s="8">
        <f>CHOOSE( CONTROL!$C$32, 16.6201, 16.619) * CHOOSE(CONTROL!$C$15, $D$11, 100%, $F$11)</f>
        <v>16.620100000000001</v>
      </c>
      <c r="D626" s="8">
        <f>CHOOSE( CONTROL!$C$32, 16.623, 16.6219) * CHOOSE( CONTROL!$C$15, $D$11, 100%, $F$11)</f>
        <v>16.623000000000001</v>
      </c>
      <c r="E626" s="12">
        <f>CHOOSE( CONTROL!$C$32, 16.6215, 16.6204) * CHOOSE( CONTROL!$C$15, $D$11, 100%, $F$11)</f>
        <v>16.621500000000001</v>
      </c>
      <c r="F626" s="4">
        <f>CHOOSE( CONTROL!$C$32, 17.3235, 17.3224) * CHOOSE(CONTROL!$C$15, $D$11, 100%, $F$11)</f>
        <v>17.323499999999999</v>
      </c>
      <c r="G626" s="8">
        <f>CHOOSE( CONTROL!$C$32, 16.4323, 16.4312) * CHOOSE( CONTROL!$C$15, $D$11, 100%, $F$11)</f>
        <v>16.432300000000001</v>
      </c>
      <c r="H626" s="4">
        <f>CHOOSE( CONTROL!$C$32, 17.3672, 17.3662) * CHOOSE(CONTROL!$C$15, $D$11, 100%, $F$11)</f>
        <v>17.3672</v>
      </c>
      <c r="I626" s="8">
        <f>CHOOSE( CONTROL!$C$32, 16.2426, 16.2416) * CHOOSE(CONTROL!$C$15, $D$11, 100%, $F$11)</f>
        <v>16.242599999999999</v>
      </c>
      <c r="J626" s="4">
        <f>CHOOSE( CONTROL!$C$32, 16.1155, 16.1145) * CHOOSE(CONTROL!$C$15, $D$11, 100%, $F$11)</f>
        <v>16.115500000000001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1.2927</v>
      </c>
      <c r="Q626" s="9">
        <v>19.688099999999999</v>
      </c>
      <c r="R626" s="9"/>
      <c r="S626" s="11"/>
    </row>
    <row r="627" spans="1:19" ht="15.75">
      <c r="A627" s="13">
        <v>60236</v>
      </c>
      <c r="B627" s="8">
        <f>CHOOSE( CONTROL!$C$32, 17.918, 17.9169) * CHOOSE(CONTROL!$C$15, $D$11, 100%, $F$11)</f>
        <v>17.917999999999999</v>
      </c>
      <c r="C627" s="8">
        <f>CHOOSE( CONTROL!$C$32, 17.9231, 17.922) * CHOOSE(CONTROL!$C$15, $D$11, 100%, $F$11)</f>
        <v>17.923100000000002</v>
      </c>
      <c r="D627" s="8">
        <f>CHOOSE( CONTROL!$C$32, 17.9052, 17.9041) * CHOOSE( CONTROL!$C$15, $D$11, 100%, $F$11)</f>
        <v>17.905200000000001</v>
      </c>
      <c r="E627" s="12">
        <f>CHOOSE( CONTROL!$C$32, 17.9112, 17.9101) * CHOOSE( CONTROL!$C$15, $D$11, 100%, $F$11)</f>
        <v>17.911200000000001</v>
      </c>
      <c r="F627" s="4">
        <f>CHOOSE( CONTROL!$C$32, 18.5833, 18.5822) * CHOOSE(CONTROL!$C$15, $D$11, 100%, $F$11)</f>
        <v>18.583300000000001</v>
      </c>
      <c r="G627" s="8">
        <f>CHOOSE( CONTROL!$C$32, 17.7197, 17.7187) * CHOOSE( CONTROL!$C$15, $D$11, 100%, $F$11)</f>
        <v>17.7197</v>
      </c>
      <c r="H627" s="4">
        <f>CHOOSE( CONTROL!$C$32, 18.6123, 18.6112) * CHOOSE(CONTROL!$C$15, $D$11, 100%, $F$11)</f>
        <v>18.612300000000001</v>
      </c>
      <c r="I627" s="8">
        <f>CHOOSE( CONTROL!$C$32, 17.5702, 17.5691) * CHOOSE(CONTROL!$C$15, $D$11, 100%, $F$11)</f>
        <v>17.5702</v>
      </c>
      <c r="J627" s="4">
        <f>CHOOSE( CONTROL!$C$32, 17.3806, 17.3796) * CHOOSE(CONTROL!$C$15, $D$11, 100%, $F$11)</f>
        <v>17.380600000000001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60267</v>
      </c>
      <c r="B628" s="8">
        <f>CHOOSE( CONTROL!$C$32, 17.8854, 17.8843) * CHOOSE(CONTROL!$C$15, $D$11, 100%, $F$11)</f>
        <v>17.885400000000001</v>
      </c>
      <c r="C628" s="8">
        <f>CHOOSE( CONTROL!$C$32, 17.8905, 17.8894) * CHOOSE(CONTROL!$C$15, $D$11, 100%, $F$11)</f>
        <v>17.890499999999999</v>
      </c>
      <c r="D628" s="8">
        <f>CHOOSE( CONTROL!$C$32, 17.8741, 17.873) * CHOOSE( CONTROL!$C$15, $D$11, 100%, $F$11)</f>
        <v>17.874099999999999</v>
      </c>
      <c r="E628" s="12">
        <f>CHOOSE( CONTROL!$C$32, 17.8796, 17.8785) * CHOOSE( CONTROL!$C$15, $D$11, 100%, $F$11)</f>
        <v>17.8796</v>
      </c>
      <c r="F628" s="4">
        <f>CHOOSE( CONTROL!$C$32, 18.5507, 18.5496) * CHOOSE(CONTROL!$C$15, $D$11, 100%, $F$11)</f>
        <v>18.550699999999999</v>
      </c>
      <c r="G628" s="8">
        <f>CHOOSE( CONTROL!$C$32, 17.6886, 17.6875) * CHOOSE( CONTROL!$C$15, $D$11, 100%, $F$11)</f>
        <v>17.688600000000001</v>
      </c>
      <c r="H628" s="4">
        <f>CHOOSE( CONTROL!$C$32, 18.5801, 18.579) * CHOOSE(CONTROL!$C$15, $D$11, 100%, $F$11)</f>
        <v>18.580100000000002</v>
      </c>
      <c r="I628" s="8">
        <f>CHOOSE( CONTROL!$C$32, 17.543, 17.542) * CHOOSE(CONTROL!$C$15, $D$11, 100%, $F$11)</f>
        <v>17.542999999999999</v>
      </c>
      <c r="J628" s="4">
        <f>CHOOSE( CONTROL!$C$32, 17.349, 17.348) * CHOOSE(CONTROL!$C$15, $D$11, 100%, $F$11)</f>
        <v>17.349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60298</v>
      </c>
      <c r="B629" s="8">
        <f>CHOOSE( CONTROL!$C$32, 18.4127, 18.4116) * CHOOSE(CONTROL!$C$15, $D$11, 100%, $F$11)</f>
        <v>18.412700000000001</v>
      </c>
      <c r="C629" s="8">
        <f>CHOOSE( CONTROL!$C$32, 18.4178, 18.4167) * CHOOSE(CONTROL!$C$15, $D$11, 100%, $F$11)</f>
        <v>18.4178</v>
      </c>
      <c r="D629" s="8">
        <f>CHOOSE( CONTROL!$C$32, 18.3965, 18.3954) * CHOOSE( CONTROL!$C$15, $D$11, 100%, $F$11)</f>
        <v>18.3965</v>
      </c>
      <c r="E629" s="12">
        <f>CHOOSE( CONTROL!$C$32, 18.4037, 18.4026) * CHOOSE( CONTROL!$C$15, $D$11, 100%, $F$11)</f>
        <v>18.403700000000001</v>
      </c>
      <c r="F629" s="4">
        <f>CHOOSE( CONTROL!$C$32, 19.078, 19.0769) * CHOOSE(CONTROL!$C$15, $D$11, 100%, $F$11)</f>
        <v>19.077999999999999</v>
      </c>
      <c r="G629" s="8">
        <f>CHOOSE( CONTROL!$C$32, 18.1992, 18.1981) * CHOOSE( CONTROL!$C$15, $D$11, 100%, $F$11)</f>
        <v>18.199200000000001</v>
      </c>
      <c r="H629" s="4">
        <f>CHOOSE( CONTROL!$C$32, 19.1012, 19.1001) * CHOOSE(CONTROL!$C$15, $D$11, 100%, $F$11)</f>
        <v>19.101199999999999</v>
      </c>
      <c r="I629" s="8">
        <f>CHOOSE( CONTROL!$C$32, 18.017, 18.016) * CHOOSE(CONTROL!$C$15, $D$11, 100%, $F$11)</f>
        <v>18.016999999999999</v>
      </c>
      <c r="J629" s="4">
        <f>CHOOSE( CONTROL!$C$32, 17.8607, 17.8597) * CHOOSE(CONTROL!$C$15, $D$11, 100%, $F$11)</f>
        <v>17.860700000000001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60326</v>
      </c>
      <c r="B630" s="8">
        <f>CHOOSE( CONTROL!$C$32, 17.223, 17.2219) * CHOOSE(CONTROL!$C$15, $D$11, 100%, $F$11)</f>
        <v>17.222999999999999</v>
      </c>
      <c r="C630" s="8">
        <f>CHOOSE( CONTROL!$C$32, 17.2281, 17.227) * CHOOSE(CONTROL!$C$15, $D$11, 100%, $F$11)</f>
        <v>17.228100000000001</v>
      </c>
      <c r="D630" s="8">
        <f>CHOOSE( CONTROL!$C$32, 17.2066, 17.2056) * CHOOSE( CONTROL!$C$15, $D$11, 100%, $F$11)</f>
        <v>17.206600000000002</v>
      </c>
      <c r="E630" s="12">
        <f>CHOOSE( CONTROL!$C$32, 17.2139, 17.2129) * CHOOSE( CONTROL!$C$15, $D$11, 100%, $F$11)</f>
        <v>17.213899999999999</v>
      </c>
      <c r="F630" s="4">
        <f>CHOOSE( CONTROL!$C$32, 17.8883, 17.8872) * CHOOSE(CONTROL!$C$15, $D$11, 100%, $F$11)</f>
        <v>17.888300000000001</v>
      </c>
      <c r="G630" s="8">
        <f>CHOOSE( CONTROL!$C$32, 17.0233, 17.0222) * CHOOSE( CONTROL!$C$15, $D$11, 100%, $F$11)</f>
        <v>17.023299999999999</v>
      </c>
      <c r="H630" s="4">
        <f>CHOOSE( CONTROL!$C$32, 17.9254, 17.9243) * CHOOSE(CONTROL!$C$15, $D$11, 100%, $F$11)</f>
        <v>17.9254</v>
      </c>
      <c r="I630" s="8">
        <f>CHOOSE( CONTROL!$C$32, 16.8614, 16.8604) * CHOOSE(CONTROL!$C$15, $D$11, 100%, $F$11)</f>
        <v>16.8614</v>
      </c>
      <c r="J630" s="4">
        <f>CHOOSE( CONTROL!$C$32, 16.7061, 16.7051) * CHOOSE(CONTROL!$C$15, $D$11, 100%, $F$11)</f>
        <v>16.706099999999999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60357</v>
      </c>
      <c r="B631" s="8">
        <f>CHOOSE( CONTROL!$C$32, 16.8566, 16.8555) * CHOOSE(CONTROL!$C$15, $D$11, 100%, $F$11)</f>
        <v>16.8566</v>
      </c>
      <c r="C631" s="8">
        <f>CHOOSE( CONTROL!$C$32, 16.8616, 16.8605) * CHOOSE(CONTROL!$C$15, $D$11, 100%, $F$11)</f>
        <v>16.861599999999999</v>
      </c>
      <c r="D631" s="8">
        <f>CHOOSE( CONTROL!$C$32, 16.8396, 16.8385) * CHOOSE( CONTROL!$C$15, $D$11, 100%, $F$11)</f>
        <v>16.839600000000001</v>
      </c>
      <c r="E631" s="12">
        <f>CHOOSE( CONTROL!$C$32, 16.8471, 16.846) * CHOOSE( CONTROL!$C$15, $D$11, 100%, $F$11)</f>
        <v>16.847100000000001</v>
      </c>
      <c r="F631" s="4">
        <f>CHOOSE( CONTROL!$C$32, 17.5218, 17.5208) * CHOOSE(CONTROL!$C$15, $D$11, 100%, $F$11)</f>
        <v>17.521799999999999</v>
      </c>
      <c r="G631" s="8">
        <f>CHOOSE( CONTROL!$C$32, 16.6607, 16.6597) * CHOOSE( CONTROL!$C$15, $D$11, 100%, $F$11)</f>
        <v>16.660699999999999</v>
      </c>
      <c r="H631" s="4">
        <f>CHOOSE( CONTROL!$C$32, 17.5633, 17.5622) * CHOOSE(CONTROL!$C$15, $D$11, 100%, $F$11)</f>
        <v>17.563300000000002</v>
      </c>
      <c r="I631" s="8">
        <f>CHOOSE( CONTROL!$C$32, 16.5037, 16.5026) * CHOOSE(CONTROL!$C$15, $D$11, 100%, $F$11)</f>
        <v>16.503699999999998</v>
      </c>
      <c r="J631" s="4">
        <f>CHOOSE( CONTROL!$C$32, 16.3505, 16.3495) * CHOOSE(CONTROL!$C$15, $D$11, 100%, $F$11)</f>
        <v>16.3505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60387</v>
      </c>
      <c r="B632" s="8">
        <f>CHOOSE( CONTROL!$C$32, 17.1134, 17.1123) * CHOOSE(CONTROL!$C$15, $D$11, 100%, $F$11)</f>
        <v>17.113399999999999</v>
      </c>
      <c r="C632" s="8">
        <f>CHOOSE( CONTROL!$C$32, 17.1179, 17.1168) * CHOOSE(CONTROL!$C$15, $D$11, 100%, $F$11)</f>
        <v>17.117899999999999</v>
      </c>
      <c r="D632" s="8">
        <f>CHOOSE( CONTROL!$C$32, 17.1207, 17.1196) * CHOOSE( CONTROL!$C$15, $D$11, 100%, $F$11)</f>
        <v>17.120699999999999</v>
      </c>
      <c r="E632" s="12">
        <f>CHOOSE( CONTROL!$C$32, 17.1193, 17.1182) * CHOOSE( CONTROL!$C$15, $D$11, 100%, $F$11)</f>
        <v>17.119299999999999</v>
      </c>
      <c r="F632" s="4">
        <f>CHOOSE( CONTROL!$C$32, 17.8217, 17.8206) * CHOOSE(CONTROL!$C$15, $D$11, 100%, $F$11)</f>
        <v>17.8217</v>
      </c>
      <c r="G632" s="8">
        <f>CHOOSE( CONTROL!$C$32, 16.9242, 16.9232) * CHOOSE( CONTROL!$C$15, $D$11, 100%, $F$11)</f>
        <v>16.924199999999999</v>
      </c>
      <c r="H632" s="4">
        <f>CHOOSE( CONTROL!$C$32, 17.8596, 17.8585) * CHOOSE(CONTROL!$C$15, $D$11, 100%, $F$11)</f>
        <v>17.8596</v>
      </c>
      <c r="I632" s="8">
        <f>CHOOSE( CONTROL!$C$32, 16.7245, 16.7235) * CHOOSE(CONTROL!$C$15, $D$11, 100%, $F$11)</f>
        <v>16.724499999999999</v>
      </c>
      <c r="J632" s="4">
        <f>CHOOSE( CONTROL!$C$32, 16.599, 16.598) * CHOOSE(CONTROL!$C$15, $D$11, 100%, $F$11)</f>
        <v>16.599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1.2509999999999999</v>
      </c>
      <c r="Q632" s="9">
        <v>19.053000000000001</v>
      </c>
      <c r="R632" s="9"/>
      <c r="S632" s="11"/>
    </row>
    <row r="633" spans="1:19" ht="15.75">
      <c r="A633" s="13">
        <v>60418</v>
      </c>
      <c r="B633" s="8">
        <f>CHOOSE( CONTROL!$C$32, 17.571, 17.5694) * CHOOSE(CONTROL!$C$15, $D$11, 100%, $F$11)</f>
        <v>17.571000000000002</v>
      </c>
      <c r="C633" s="8">
        <f>CHOOSE( CONTROL!$C$32, 17.579, 17.5773) * CHOOSE(CONTROL!$C$15, $D$11, 100%, $F$11)</f>
        <v>17.579000000000001</v>
      </c>
      <c r="D633" s="8">
        <f>CHOOSE( CONTROL!$C$32, 17.5757, 17.5741) * CHOOSE( CONTROL!$C$15, $D$11, 100%, $F$11)</f>
        <v>17.575700000000001</v>
      </c>
      <c r="E633" s="12">
        <f>CHOOSE( CONTROL!$C$32, 17.5757, 17.5741) * CHOOSE( CONTROL!$C$15, $D$11, 100%, $F$11)</f>
        <v>17.575700000000001</v>
      </c>
      <c r="F633" s="4">
        <f>CHOOSE( CONTROL!$C$32, 18.278, 18.2763) * CHOOSE(CONTROL!$C$15, $D$11, 100%, $F$11)</f>
        <v>18.277999999999999</v>
      </c>
      <c r="G633" s="8">
        <f>CHOOSE( CONTROL!$C$32, 17.375, 17.3734) * CHOOSE( CONTROL!$C$15, $D$11, 100%, $F$11)</f>
        <v>17.375</v>
      </c>
      <c r="H633" s="4">
        <f>CHOOSE( CONTROL!$C$32, 18.3106, 18.3089) * CHOOSE(CONTROL!$C$15, $D$11, 100%, $F$11)</f>
        <v>18.310600000000001</v>
      </c>
      <c r="I633" s="8">
        <f>CHOOSE( CONTROL!$C$32, 17.1668, 17.1652) * CHOOSE(CONTROL!$C$15, $D$11, 100%, $F$11)</f>
        <v>17.166799999999999</v>
      </c>
      <c r="J633" s="4">
        <f>CHOOSE( CONTROL!$C$32, 17.0419, 17.0402) * CHOOSE(CONTROL!$C$15, $D$11, 100%, $F$11)</f>
        <v>17.041899999999998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1.2927</v>
      </c>
      <c r="Q633" s="9">
        <v>19.688099999999999</v>
      </c>
      <c r="R633" s="9"/>
      <c r="S633" s="11"/>
    </row>
    <row r="634" spans="1:19" ht="15.75">
      <c r="A634" s="13">
        <v>60448</v>
      </c>
      <c r="B634" s="8">
        <f>CHOOSE( CONTROL!$C$32, 17.2887, 17.2871) * CHOOSE(CONTROL!$C$15, $D$11, 100%, $F$11)</f>
        <v>17.288699999999999</v>
      </c>
      <c r="C634" s="8">
        <f>CHOOSE( CONTROL!$C$32, 17.2967, 17.295) * CHOOSE(CONTROL!$C$15, $D$11, 100%, $F$11)</f>
        <v>17.296700000000001</v>
      </c>
      <c r="D634" s="8">
        <f>CHOOSE( CONTROL!$C$32, 17.2937, 17.292) * CHOOSE( CONTROL!$C$15, $D$11, 100%, $F$11)</f>
        <v>17.293700000000001</v>
      </c>
      <c r="E634" s="12">
        <f>CHOOSE( CONTROL!$C$32, 17.2936, 17.2919) * CHOOSE( CONTROL!$C$15, $D$11, 100%, $F$11)</f>
        <v>17.293600000000001</v>
      </c>
      <c r="F634" s="4">
        <f>CHOOSE( CONTROL!$C$32, 17.9957, 17.994) * CHOOSE(CONTROL!$C$15, $D$11, 100%, $F$11)</f>
        <v>17.995699999999999</v>
      </c>
      <c r="G634" s="8">
        <f>CHOOSE( CONTROL!$C$32, 17.0962, 17.0946) * CHOOSE( CONTROL!$C$15, $D$11, 100%, $F$11)</f>
        <v>17.0962</v>
      </c>
      <c r="H634" s="4">
        <f>CHOOSE( CONTROL!$C$32, 18.0316, 18.0299) * CHOOSE(CONTROL!$C$15, $D$11, 100%, $F$11)</f>
        <v>18.031600000000001</v>
      </c>
      <c r="I634" s="8">
        <f>CHOOSE( CONTROL!$C$32, 16.8935, 16.8919) * CHOOSE(CONTROL!$C$15, $D$11, 100%, $F$11)</f>
        <v>16.8935</v>
      </c>
      <c r="J634" s="4">
        <f>CHOOSE( CONTROL!$C$32, 16.7679, 16.7663) * CHOOSE(CONTROL!$C$15, $D$11, 100%, $F$11)</f>
        <v>16.767900000000001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1.2509999999999999</v>
      </c>
      <c r="Q634" s="9">
        <v>19.053000000000001</v>
      </c>
      <c r="R634" s="9"/>
      <c r="S634" s="11"/>
    </row>
    <row r="635" spans="1:19" ht="15.75">
      <c r="A635" s="13">
        <v>60479</v>
      </c>
      <c r="B635" s="8">
        <f>CHOOSE( CONTROL!$C$32, 18.0321, 18.0305) * CHOOSE(CONTROL!$C$15, $D$11, 100%, $F$11)</f>
        <v>18.0321</v>
      </c>
      <c r="C635" s="8">
        <f>CHOOSE( CONTROL!$C$32, 18.0401, 18.0384) * CHOOSE(CONTROL!$C$15, $D$11, 100%, $F$11)</f>
        <v>18.040099999999999</v>
      </c>
      <c r="D635" s="8">
        <f>CHOOSE( CONTROL!$C$32, 18.0373, 18.0356) * CHOOSE( CONTROL!$C$15, $D$11, 100%, $F$11)</f>
        <v>18.037299999999998</v>
      </c>
      <c r="E635" s="12">
        <f>CHOOSE( CONTROL!$C$32, 18.0371, 18.0354) * CHOOSE( CONTROL!$C$15, $D$11, 100%, $F$11)</f>
        <v>18.037099999999999</v>
      </c>
      <c r="F635" s="4">
        <f>CHOOSE( CONTROL!$C$32, 18.7391, 18.7374) * CHOOSE(CONTROL!$C$15, $D$11, 100%, $F$11)</f>
        <v>18.739100000000001</v>
      </c>
      <c r="G635" s="8">
        <f>CHOOSE( CONTROL!$C$32, 17.8311, 17.8295) * CHOOSE( CONTROL!$C$15, $D$11, 100%, $F$11)</f>
        <v>17.831099999999999</v>
      </c>
      <c r="H635" s="4">
        <f>CHOOSE( CONTROL!$C$32, 18.7662, 18.7646) * CHOOSE(CONTROL!$C$15, $D$11, 100%, $F$11)</f>
        <v>18.766200000000001</v>
      </c>
      <c r="I635" s="8">
        <f>CHOOSE( CONTROL!$C$32, 17.6162, 17.6146) * CHOOSE(CONTROL!$C$15, $D$11, 100%, $F$11)</f>
        <v>17.616199999999999</v>
      </c>
      <c r="J635" s="4">
        <f>CHOOSE( CONTROL!$C$32, 17.4893, 17.4877) * CHOOSE(CONTROL!$C$15, $D$11, 100%, $F$11)</f>
        <v>17.4893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1.2927</v>
      </c>
      <c r="Q635" s="9">
        <v>19.688099999999999</v>
      </c>
      <c r="R635" s="9"/>
      <c r="S635" s="11"/>
    </row>
    <row r="636" spans="1:19" ht="15.75">
      <c r="A636" s="13">
        <v>60510</v>
      </c>
      <c r="B636" s="8">
        <f>CHOOSE( CONTROL!$C$32, 16.6412, 16.6395) * CHOOSE(CONTROL!$C$15, $D$11, 100%, $F$11)</f>
        <v>16.641200000000001</v>
      </c>
      <c r="C636" s="8">
        <f>CHOOSE( CONTROL!$C$32, 16.6491, 16.6475) * CHOOSE(CONTROL!$C$15, $D$11, 100%, $F$11)</f>
        <v>16.649100000000001</v>
      </c>
      <c r="D636" s="8">
        <f>CHOOSE( CONTROL!$C$32, 16.6464, 16.6448) * CHOOSE( CONTROL!$C$15, $D$11, 100%, $F$11)</f>
        <v>16.6464</v>
      </c>
      <c r="E636" s="12">
        <f>CHOOSE( CONTROL!$C$32, 16.6462, 16.6446) * CHOOSE( CONTROL!$C$15, $D$11, 100%, $F$11)</f>
        <v>16.6462</v>
      </c>
      <c r="F636" s="4">
        <f>CHOOSE( CONTROL!$C$32, 17.3481, 17.3464) * CHOOSE(CONTROL!$C$15, $D$11, 100%, $F$11)</f>
        <v>17.348099999999999</v>
      </c>
      <c r="G636" s="8">
        <f>CHOOSE( CONTROL!$C$32, 16.4565, 16.4549) * CHOOSE( CONTROL!$C$15, $D$11, 100%, $F$11)</f>
        <v>16.456499999999998</v>
      </c>
      <c r="H636" s="4">
        <f>CHOOSE( CONTROL!$C$32, 17.3916, 17.3899) * CHOOSE(CONTROL!$C$15, $D$11, 100%, $F$11)</f>
        <v>17.3916</v>
      </c>
      <c r="I636" s="8">
        <f>CHOOSE( CONTROL!$C$32, 16.2659, 16.2643) * CHOOSE(CONTROL!$C$15, $D$11, 100%, $F$11)</f>
        <v>16.265899999999998</v>
      </c>
      <c r="J636" s="4">
        <f>CHOOSE( CONTROL!$C$32, 16.1394, 16.1378) * CHOOSE(CONTROL!$C$15, $D$11, 100%, $F$11)</f>
        <v>16.139399999999998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1.2927</v>
      </c>
      <c r="Q636" s="9">
        <v>19.688099999999999</v>
      </c>
      <c r="R636" s="9"/>
      <c r="S636" s="11"/>
    </row>
    <row r="637" spans="1:19" ht="15.75">
      <c r="A637" s="13">
        <v>60540</v>
      </c>
      <c r="B637" s="8">
        <f>CHOOSE( CONTROL!$C$32, 16.2928, 16.2912) * CHOOSE(CONTROL!$C$15, $D$11, 100%, $F$11)</f>
        <v>16.2928</v>
      </c>
      <c r="C637" s="8">
        <f>CHOOSE( CONTROL!$C$32, 16.3008, 16.2992) * CHOOSE(CONTROL!$C$15, $D$11, 100%, $F$11)</f>
        <v>16.300799999999999</v>
      </c>
      <c r="D637" s="8">
        <f>CHOOSE( CONTROL!$C$32, 16.2981, 16.2964) * CHOOSE( CONTROL!$C$15, $D$11, 100%, $F$11)</f>
        <v>16.298100000000002</v>
      </c>
      <c r="E637" s="12">
        <f>CHOOSE( CONTROL!$C$32, 16.2979, 16.2962) * CHOOSE( CONTROL!$C$15, $D$11, 100%, $F$11)</f>
        <v>16.297899999999998</v>
      </c>
      <c r="F637" s="4">
        <f>CHOOSE( CONTROL!$C$32, 16.9998, 16.9981) * CHOOSE(CONTROL!$C$15, $D$11, 100%, $F$11)</f>
        <v>16.9998</v>
      </c>
      <c r="G637" s="8">
        <f>CHOOSE( CONTROL!$C$32, 16.1123, 16.1106) * CHOOSE( CONTROL!$C$15, $D$11, 100%, $F$11)</f>
        <v>16.112300000000001</v>
      </c>
      <c r="H637" s="4">
        <f>CHOOSE( CONTROL!$C$32, 17.0473, 17.0457) * CHOOSE(CONTROL!$C$15, $D$11, 100%, $F$11)</f>
        <v>17.0473</v>
      </c>
      <c r="I637" s="8">
        <f>CHOOSE( CONTROL!$C$32, 15.9275, 15.9259) * CHOOSE(CONTROL!$C$15, $D$11, 100%, $F$11)</f>
        <v>15.9275</v>
      </c>
      <c r="J637" s="4">
        <f>CHOOSE( CONTROL!$C$32, 15.8014, 15.7998) * CHOOSE(CONTROL!$C$15, $D$11, 100%, $F$11)</f>
        <v>15.801399999999999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1.2509999999999999</v>
      </c>
      <c r="Q637" s="9">
        <v>19.053000000000001</v>
      </c>
      <c r="R637" s="9"/>
      <c r="S637" s="11"/>
    </row>
    <row r="638" spans="1:19" ht="15.75">
      <c r="A638" s="13">
        <v>60571</v>
      </c>
      <c r="B638" s="8">
        <f>CHOOSE( CONTROL!$C$32, 17.0138, 17.0127) * CHOOSE(CONTROL!$C$15, $D$11, 100%, $F$11)</f>
        <v>17.0138</v>
      </c>
      <c r="C638" s="8">
        <f>CHOOSE( CONTROL!$C$32, 17.0191, 17.018) * CHOOSE(CONTROL!$C$15, $D$11, 100%, $F$11)</f>
        <v>17.019100000000002</v>
      </c>
      <c r="D638" s="8">
        <f>CHOOSE( CONTROL!$C$32, 17.022, 17.0209) * CHOOSE( CONTROL!$C$15, $D$11, 100%, $F$11)</f>
        <v>17.021999999999998</v>
      </c>
      <c r="E638" s="12">
        <f>CHOOSE( CONTROL!$C$32, 17.0205, 17.0194) * CHOOSE( CONTROL!$C$15, $D$11, 100%, $F$11)</f>
        <v>17.020499999999998</v>
      </c>
      <c r="F638" s="4">
        <f>CHOOSE( CONTROL!$C$32, 17.7224, 17.7213) * CHOOSE(CONTROL!$C$15, $D$11, 100%, $F$11)</f>
        <v>17.7224</v>
      </c>
      <c r="G638" s="8">
        <f>CHOOSE( CONTROL!$C$32, 16.8266, 16.8255) * CHOOSE( CONTROL!$C$15, $D$11, 100%, $F$11)</f>
        <v>16.826599999999999</v>
      </c>
      <c r="H638" s="4">
        <f>CHOOSE( CONTROL!$C$32, 17.7615, 17.7605) * CHOOSE(CONTROL!$C$15, $D$11, 100%, $F$11)</f>
        <v>17.761500000000002</v>
      </c>
      <c r="I638" s="8">
        <f>CHOOSE( CONTROL!$C$32, 16.63, 16.629) * CHOOSE(CONTROL!$C$15, $D$11, 100%, $F$11)</f>
        <v>16.63</v>
      </c>
      <c r="J638" s="4">
        <f>CHOOSE( CONTROL!$C$32, 16.5027, 16.5017) * CHOOSE(CONTROL!$C$15, $D$11, 100%, $F$11)</f>
        <v>16.502700000000001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1.2927</v>
      </c>
      <c r="Q638" s="9">
        <v>19.688099999999999</v>
      </c>
      <c r="R638" s="9"/>
      <c r="S638" s="11"/>
    </row>
    <row r="639" spans="1:19" ht="15.75">
      <c r="A639" s="13">
        <v>60601</v>
      </c>
      <c r="B639" s="8">
        <f>CHOOSE( CONTROL!$C$32, 18.3483, 18.3472) * CHOOSE(CONTROL!$C$15, $D$11, 100%, $F$11)</f>
        <v>18.348299999999998</v>
      </c>
      <c r="C639" s="8">
        <f>CHOOSE( CONTROL!$C$32, 18.3533, 18.3523) * CHOOSE(CONTROL!$C$15, $D$11, 100%, $F$11)</f>
        <v>18.353300000000001</v>
      </c>
      <c r="D639" s="8">
        <f>CHOOSE( CONTROL!$C$32, 18.3355, 18.3344) * CHOOSE( CONTROL!$C$15, $D$11, 100%, $F$11)</f>
        <v>18.3355</v>
      </c>
      <c r="E639" s="12">
        <f>CHOOSE( CONTROL!$C$32, 18.3415, 18.3404) * CHOOSE( CONTROL!$C$15, $D$11, 100%, $F$11)</f>
        <v>18.3415</v>
      </c>
      <c r="F639" s="4">
        <f>CHOOSE( CONTROL!$C$32, 19.0135, 19.0125) * CHOOSE(CONTROL!$C$15, $D$11, 100%, $F$11)</f>
        <v>19.013500000000001</v>
      </c>
      <c r="G639" s="8">
        <f>CHOOSE( CONTROL!$C$32, 18.145, 18.1439) * CHOOSE( CONTROL!$C$15, $D$11, 100%, $F$11)</f>
        <v>18.145</v>
      </c>
      <c r="H639" s="4">
        <f>CHOOSE( CONTROL!$C$32, 19.0375, 19.0365) * CHOOSE(CONTROL!$C$15, $D$11, 100%, $F$11)</f>
        <v>19.037500000000001</v>
      </c>
      <c r="I639" s="8">
        <f>CHOOSE( CONTROL!$C$32, 17.988, 17.9869) * CHOOSE(CONTROL!$C$15, $D$11, 100%, $F$11)</f>
        <v>17.988</v>
      </c>
      <c r="J639" s="4">
        <f>CHOOSE( CONTROL!$C$32, 17.7982, 17.7972) * CHOOSE(CONTROL!$C$15, $D$11, 100%, $F$11)</f>
        <v>17.798200000000001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60632</v>
      </c>
      <c r="B640" s="8">
        <f>CHOOSE( CONTROL!$C$32, 18.3149, 18.3138) * CHOOSE(CONTROL!$C$15, $D$11, 100%, $F$11)</f>
        <v>18.314900000000002</v>
      </c>
      <c r="C640" s="8">
        <f>CHOOSE( CONTROL!$C$32, 18.32, 18.3189) * CHOOSE(CONTROL!$C$15, $D$11, 100%, $F$11)</f>
        <v>18.32</v>
      </c>
      <c r="D640" s="8">
        <f>CHOOSE( CONTROL!$C$32, 18.3036, 18.3025) * CHOOSE( CONTROL!$C$15, $D$11, 100%, $F$11)</f>
        <v>18.303599999999999</v>
      </c>
      <c r="E640" s="12">
        <f>CHOOSE( CONTROL!$C$32, 18.3091, 18.308) * CHOOSE( CONTROL!$C$15, $D$11, 100%, $F$11)</f>
        <v>18.309100000000001</v>
      </c>
      <c r="F640" s="4">
        <f>CHOOSE( CONTROL!$C$32, 18.9802, 18.9791) * CHOOSE(CONTROL!$C$15, $D$11, 100%, $F$11)</f>
        <v>18.9802</v>
      </c>
      <c r="G640" s="8">
        <f>CHOOSE( CONTROL!$C$32, 18.113, 18.112) * CHOOSE( CONTROL!$C$15, $D$11, 100%, $F$11)</f>
        <v>18.113</v>
      </c>
      <c r="H640" s="4">
        <f>CHOOSE( CONTROL!$C$32, 19.0046, 19.0035) * CHOOSE(CONTROL!$C$15, $D$11, 100%, $F$11)</f>
        <v>19.0046</v>
      </c>
      <c r="I640" s="8">
        <f>CHOOSE( CONTROL!$C$32, 17.96, 17.959) * CHOOSE(CONTROL!$C$15, $D$11, 100%, $F$11)</f>
        <v>17.96</v>
      </c>
      <c r="J640" s="4">
        <f>CHOOSE( CONTROL!$C$32, 17.7659, 17.7648) * CHOOSE(CONTROL!$C$15, $D$11, 100%, $F$11)</f>
        <v>17.765899999999998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60663</v>
      </c>
      <c r="B641" s="8">
        <f>CHOOSE( CONTROL!$C$32, 18.8548, 18.8538) * CHOOSE(CONTROL!$C$15, $D$11, 100%, $F$11)</f>
        <v>18.854800000000001</v>
      </c>
      <c r="C641" s="8">
        <f>CHOOSE( CONTROL!$C$32, 18.8599, 18.8588) * CHOOSE(CONTROL!$C$15, $D$11, 100%, $F$11)</f>
        <v>18.8599</v>
      </c>
      <c r="D641" s="8">
        <f>CHOOSE( CONTROL!$C$32, 18.8386, 18.8375) * CHOOSE( CONTROL!$C$15, $D$11, 100%, $F$11)</f>
        <v>18.8386</v>
      </c>
      <c r="E641" s="12">
        <f>CHOOSE( CONTROL!$C$32, 18.8458, 18.8448) * CHOOSE( CONTROL!$C$15, $D$11, 100%, $F$11)</f>
        <v>18.845800000000001</v>
      </c>
      <c r="F641" s="4">
        <f>CHOOSE( CONTROL!$C$32, 19.5201, 19.519) * CHOOSE(CONTROL!$C$15, $D$11, 100%, $F$11)</f>
        <v>19.520099999999999</v>
      </c>
      <c r="G641" s="8">
        <f>CHOOSE( CONTROL!$C$32, 18.6362, 18.6351) * CHOOSE( CONTROL!$C$15, $D$11, 100%, $F$11)</f>
        <v>18.636199999999999</v>
      </c>
      <c r="H641" s="4">
        <f>CHOOSE( CONTROL!$C$32, 19.5382, 19.5371) * CHOOSE(CONTROL!$C$15, $D$11, 100%, $F$11)</f>
        <v>19.5382</v>
      </c>
      <c r="I641" s="8">
        <f>CHOOSE( CONTROL!$C$32, 18.4464, 18.4453) * CHOOSE(CONTROL!$C$15, $D$11, 100%, $F$11)</f>
        <v>18.446400000000001</v>
      </c>
      <c r="J641" s="4">
        <f>CHOOSE( CONTROL!$C$32, 18.2899, 18.2888) * CHOOSE(CONTROL!$C$15, $D$11, 100%, $F$11)</f>
        <v>18.289899999999999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60691</v>
      </c>
      <c r="B642" s="8">
        <f>CHOOSE( CONTROL!$C$32, 17.6366, 17.6355) * CHOOSE(CONTROL!$C$15, $D$11, 100%, $F$11)</f>
        <v>17.636600000000001</v>
      </c>
      <c r="C642" s="8">
        <f>CHOOSE( CONTROL!$C$32, 17.6416, 17.6406) * CHOOSE(CONTROL!$C$15, $D$11, 100%, $F$11)</f>
        <v>17.6416</v>
      </c>
      <c r="D642" s="8">
        <f>CHOOSE( CONTROL!$C$32, 17.6202, 17.6191) * CHOOSE( CONTROL!$C$15, $D$11, 100%, $F$11)</f>
        <v>17.620200000000001</v>
      </c>
      <c r="E642" s="12">
        <f>CHOOSE( CONTROL!$C$32, 17.6275, 17.6264) * CHOOSE( CONTROL!$C$15, $D$11, 100%, $F$11)</f>
        <v>17.627500000000001</v>
      </c>
      <c r="F642" s="4">
        <f>CHOOSE( CONTROL!$C$32, 18.3018, 18.3008) * CHOOSE(CONTROL!$C$15, $D$11, 100%, $F$11)</f>
        <v>18.3018</v>
      </c>
      <c r="G642" s="8">
        <f>CHOOSE( CONTROL!$C$32, 17.432, 17.431) * CHOOSE( CONTROL!$C$15, $D$11, 100%, $F$11)</f>
        <v>17.431999999999999</v>
      </c>
      <c r="H642" s="4">
        <f>CHOOSE( CONTROL!$C$32, 18.3342, 18.3331) * CHOOSE(CONTROL!$C$15, $D$11, 100%, $F$11)</f>
        <v>18.334199999999999</v>
      </c>
      <c r="I642" s="8">
        <f>CHOOSE( CONTROL!$C$32, 17.263, 17.262) * CHOOSE(CONTROL!$C$15, $D$11, 100%, $F$11)</f>
        <v>17.263000000000002</v>
      </c>
      <c r="J642" s="4">
        <f>CHOOSE( CONTROL!$C$32, 17.1075, 17.1065) * CHOOSE(CONTROL!$C$15, $D$11, 100%, $F$11)</f>
        <v>17.107500000000002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60722</v>
      </c>
      <c r="B643" s="8">
        <f>CHOOSE( CONTROL!$C$32, 17.2613, 17.2603) * CHOOSE(CONTROL!$C$15, $D$11, 100%, $F$11)</f>
        <v>17.261299999999999</v>
      </c>
      <c r="C643" s="8">
        <f>CHOOSE( CONTROL!$C$32, 17.2664, 17.2653) * CHOOSE(CONTROL!$C$15, $D$11, 100%, $F$11)</f>
        <v>17.266400000000001</v>
      </c>
      <c r="D643" s="8">
        <f>CHOOSE( CONTROL!$C$32, 17.2444, 17.2433) * CHOOSE( CONTROL!$C$15, $D$11, 100%, $F$11)</f>
        <v>17.244399999999999</v>
      </c>
      <c r="E643" s="12">
        <f>CHOOSE( CONTROL!$C$32, 17.2519, 17.2508) * CHOOSE( CONTROL!$C$15, $D$11, 100%, $F$11)</f>
        <v>17.251899999999999</v>
      </c>
      <c r="F643" s="4">
        <f>CHOOSE( CONTROL!$C$32, 17.9266, 17.9255) * CHOOSE(CONTROL!$C$15, $D$11, 100%, $F$11)</f>
        <v>17.926600000000001</v>
      </c>
      <c r="G643" s="8">
        <f>CHOOSE( CONTROL!$C$32, 17.0608, 17.0597) * CHOOSE( CONTROL!$C$15, $D$11, 100%, $F$11)</f>
        <v>17.0608</v>
      </c>
      <c r="H643" s="4">
        <f>CHOOSE( CONTROL!$C$32, 17.9633, 17.9623) * CHOOSE(CONTROL!$C$15, $D$11, 100%, $F$11)</f>
        <v>17.9633</v>
      </c>
      <c r="I643" s="8">
        <f>CHOOSE( CONTROL!$C$32, 16.8967, 16.8956) * CHOOSE(CONTROL!$C$15, $D$11, 100%, $F$11)</f>
        <v>16.896699999999999</v>
      </c>
      <c r="J643" s="4">
        <f>CHOOSE( CONTROL!$C$32, 16.7434, 16.7423) * CHOOSE(CONTROL!$C$15, $D$11, 100%, $F$11)</f>
        <v>16.743400000000001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60752</v>
      </c>
      <c r="B644" s="8">
        <f>CHOOSE( CONTROL!$C$32, 17.5243, 17.5232) * CHOOSE(CONTROL!$C$15, $D$11, 100%, $F$11)</f>
        <v>17.5243</v>
      </c>
      <c r="C644" s="8">
        <f>CHOOSE( CONTROL!$C$32, 17.5288, 17.5277) * CHOOSE(CONTROL!$C$15, $D$11, 100%, $F$11)</f>
        <v>17.5288</v>
      </c>
      <c r="D644" s="8">
        <f>CHOOSE( CONTROL!$C$32, 17.5317, 17.5306) * CHOOSE( CONTROL!$C$15, $D$11, 100%, $F$11)</f>
        <v>17.531700000000001</v>
      </c>
      <c r="E644" s="12">
        <f>CHOOSE( CONTROL!$C$32, 17.5302, 17.5291) * CHOOSE( CONTROL!$C$15, $D$11, 100%, $F$11)</f>
        <v>17.530200000000001</v>
      </c>
      <c r="F644" s="4">
        <f>CHOOSE( CONTROL!$C$32, 18.2326, 18.2315) * CHOOSE(CONTROL!$C$15, $D$11, 100%, $F$11)</f>
        <v>18.232600000000001</v>
      </c>
      <c r="G644" s="8">
        <f>CHOOSE( CONTROL!$C$32, 17.3304, 17.3293) * CHOOSE( CONTROL!$C$15, $D$11, 100%, $F$11)</f>
        <v>17.330400000000001</v>
      </c>
      <c r="H644" s="4">
        <f>CHOOSE( CONTROL!$C$32, 18.2657, 18.2647) * CHOOSE(CONTROL!$C$15, $D$11, 100%, $F$11)</f>
        <v>18.265699999999999</v>
      </c>
      <c r="I644" s="8">
        <f>CHOOSE( CONTROL!$C$32, 17.1235, 17.1225) * CHOOSE(CONTROL!$C$15, $D$11, 100%, $F$11)</f>
        <v>17.1235</v>
      </c>
      <c r="J644" s="4">
        <f>CHOOSE( CONTROL!$C$32, 16.9978, 16.9968) * CHOOSE(CONTROL!$C$15, $D$11, 100%, $F$11)</f>
        <v>16.997800000000002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1.2509999999999999</v>
      </c>
      <c r="Q644" s="9">
        <v>19.053000000000001</v>
      </c>
      <c r="R644" s="9"/>
      <c r="S644" s="11"/>
    </row>
    <row r="645" spans="1:19" ht="15.75">
      <c r="A645" s="13">
        <v>60783</v>
      </c>
      <c r="B645" s="8">
        <f>CHOOSE( CONTROL!$C$32, 17.9929, 17.9912) * CHOOSE(CONTROL!$C$15, $D$11, 100%, $F$11)</f>
        <v>17.992899999999999</v>
      </c>
      <c r="C645" s="8">
        <f>CHOOSE( CONTROL!$C$32, 18.0009, 17.9992) * CHOOSE(CONTROL!$C$15, $D$11, 100%, $F$11)</f>
        <v>18.000900000000001</v>
      </c>
      <c r="D645" s="8">
        <f>CHOOSE( CONTROL!$C$32, 17.9976, 17.996) * CHOOSE( CONTROL!$C$15, $D$11, 100%, $F$11)</f>
        <v>17.997599999999998</v>
      </c>
      <c r="E645" s="12">
        <f>CHOOSE( CONTROL!$C$32, 17.9976, 17.9959) * CHOOSE( CONTROL!$C$15, $D$11, 100%, $F$11)</f>
        <v>17.997599999999998</v>
      </c>
      <c r="F645" s="4">
        <f>CHOOSE( CONTROL!$C$32, 18.6998, 18.6982) * CHOOSE(CONTROL!$C$15, $D$11, 100%, $F$11)</f>
        <v>18.6998</v>
      </c>
      <c r="G645" s="8">
        <f>CHOOSE( CONTROL!$C$32, 17.792, 17.7903) * CHOOSE( CONTROL!$C$15, $D$11, 100%, $F$11)</f>
        <v>17.792000000000002</v>
      </c>
      <c r="H645" s="4">
        <f>CHOOSE( CONTROL!$C$32, 18.7275, 18.7259) * CHOOSE(CONTROL!$C$15, $D$11, 100%, $F$11)</f>
        <v>18.727499999999999</v>
      </c>
      <c r="I645" s="8">
        <f>CHOOSE( CONTROL!$C$32, 17.5765, 17.5749) * CHOOSE(CONTROL!$C$15, $D$11, 100%, $F$11)</f>
        <v>17.576499999999999</v>
      </c>
      <c r="J645" s="4">
        <f>CHOOSE( CONTROL!$C$32, 17.4513, 17.4497) * CHOOSE(CONTROL!$C$15, $D$11, 100%, $F$11)</f>
        <v>17.4513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1.2927</v>
      </c>
      <c r="Q645" s="9">
        <v>19.688099999999999</v>
      </c>
      <c r="R645" s="9"/>
      <c r="S645" s="11"/>
    </row>
    <row r="646" spans="1:19" ht="15.75">
      <c r="A646" s="13">
        <v>60813</v>
      </c>
      <c r="B646" s="8">
        <f>CHOOSE( CONTROL!$C$32, 17.7038, 17.7022) * CHOOSE(CONTROL!$C$15, $D$11, 100%, $F$11)</f>
        <v>17.703800000000001</v>
      </c>
      <c r="C646" s="8">
        <f>CHOOSE( CONTROL!$C$32, 17.7118, 17.7101) * CHOOSE(CONTROL!$C$15, $D$11, 100%, $F$11)</f>
        <v>17.7118</v>
      </c>
      <c r="D646" s="8">
        <f>CHOOSE( CONTROL!$C$32, 17.7088, 17.7071) * CHOOSE( CONTROL!$C$15, $D$11, 100%, $F$11)</f>
        <v>17.7088</v>
      </c>
      <c r="E646" s="12">
        <f>CHOOSE( CONTROL!$C$32, 17.7087, 17.707) * CHOOSE( CONTROL!$C$15, $D$11, 100%, $F$11)</f>
        <v>17.7087</v>
      </c>
      <c r="F646" s="4">
        <f>CHOOSE( CONTROL!$C$32, 18.4108, 18.4091) * CHOOSE(CONTROL!$C$15, $D$11, 100%, $F$11)</f>
        <v>18.410799999999998</v>
      </c>
      <c r="G646" s="8">
        <f>CHOOSE( CONTROL!$C$32, 17.5065, 17.5048) * CHOOSE( CONTROL!$C$15, $D$11, 100%, $F$11)</f>
        <v>17.506499999999999</v>
      </c>
      <c r="H646" s="4">
        <f>CHOOSE( CONTROL!$C$32, 18.4418, 18.4402) * CHOOSE(CONTROL!$C$15, $D$11, 100%, $F$11)</f>
        <v>18.441800000000001</v>
      </c>
      <c r="I646" s="8">
        <f>CHOOSE( CONTROL!$C$32, 17.2966, 17.295) * CHOOSE(CONTROL!$C$15, $D$11, 100%, $F$11)</f>
        <v>17.296600000000002</v>
      </c>
      <c r="J646" s="4">
        <f>CHOOSE( CONTROL!$C$32, 17.1707, 17.1691) * CHOOSE(CONTROL!$C$15, $D$11, 100%, $F$11)</f>
        <v>17.1707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1.2509999999999999</v>
      </c>
      <c r="Q646" s="9">
        <v>19.053000000000001</v>
      </c>
      <c r="R646" s="9"/>
      <c r="S646" s="11"/>
    </row>
    <row r="647" spans="1:19" ht="15.75">
      <c r="A647" s="13">
        <v>60844</v>
      </c>
      <c r="B647" s="8">
        <f>CHOOSE( CONTROL!$C$32, 18.4651, 18.4634) * CHOOSE(CONTROL!$C$15, $D$11, 100%, $F$11)</f>
        <v>18.4651</v>
      </c>
      <c r="C647" s="8">
        <f>CHOOSE( CONTROL!$C$32, 18.473, 18.4714) * CHOOSE(CONTROL!$C$15, $D$11, 100%, $F$11)</f>
        <v>18.472999999999999</v>
      </c>
      <c r="D647" s="8">
        <f>CHOOSE( CONTROL!$C$32, 18.4702, 18.4686) * CHOOSE( CONTROL!$C$15, $D$11, 100%, $F$11)</f>
        <v>18.470199999999998</v>
      </c>
      <c r="E647" s="12">
        <f>CHOOSE( CONTROL!$C$32, 18.47, 18.4684) * CHOOSE( CONTROL!$C$15, $D$11, 100%, $F$11)</f>
        <v>18.47</v>
      </c>
      <c r="F647" s="4">
        <f>CHOOSE( CONTROL!$C$32, 19.172, 19.1704) * CHOOSE(CONTROL!$C$15, $D$11, 100%, $F$11)</f>
        <v>19.172000000000001</v>
      </c>
      <c r="G647" s="8">
        <f>CHOOSE( CONTROL!$C$32, 18.259, 18.2574) * CHOOSE( CONTROL!$C$15, $D$11, 100%, $F$11)</f>
        <v>18.259</v>
      </c>
      <c r="H647" s="4">
        <f>CHOOSE( CONTROL!$C$32, 19.1941, 19.1925) * CHOOSE(CONTROL!$C$15, $D$11, 100%, $F$11)</f>
        <v>19.194099999999999</v>
      </c>
      <c r="I647" s="8">
        <f>CHOOSE( CONTROL!$C$32, 18.0366, 18.035) * CHOOSE(CONTROL!$C$15, $D$11, 100%, $F$11)</f>
        <v>18.0366</v>
      </c>
      <c r="J647" s="4">
        <f>CHOOSE( CONTROL!$C$32, 17.9095, 17.9079) * CHOOSE(CONTROL!$C$15, $D$11, 100%, $F$11)</f>
        <v>17.909500000000001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1.2927</v>
      </c>
      <c r="Q647" s="9">
        <v>19.688099999999999</v>
      </c>
      <c r="R647" s="9"/>
      <c r="S647" s="11"/>
    </row>
    <row r="648" spans="1:19" ht="15.75">
      <c r="A648" s="13">
        <v>60875</v>
      </c>
      <c r="B648" s="8">
        <f>CHOOSE( CONTROL!$C$32, 17.0407, 17.039) * CHOOSE(CONTROL!$C$15, $D$11, 100%, $F$11)</f>
        <v>17.040700000000001</v>
      </c>
      <c r="C648" s="8">
        <f>CHOOSE( CONTROL!$C$32, 17.0487, 17.047) * CHOOSE(CONTROL!$C$15, $D$11, 100%, $F$11)</f>
        <v>17.0487</v>
      </c>
      <c r="D648" s="8">
        <f>CHOOSE( CONTROL!$C$32, 17.046, 17.0443) * CHOOSE( CONTROL!$C$15, $D$11, 100%, $F$11)</f>
        <v>17.045999999999999</v>
      </c>
      <c r="E648" s="12">
        <f>CHOOSE( CONTROL!$C$32, 17.0458, 17.0441) * CHOOSE( CONTROL!$C$15, $D$11, 100%, $F$11)</f>
        <v>17.0458</v>
      </c>
      <c r="F648" s="4">
        <f>CHOOSE( CONTROL!$C$32, 17.7476, 17.746) * CHOOSE(CONTROL!$C$15, $D$11, 100%, $F$11)</f>
        <v>17.747599999999998</v>
      </c>
      <c r="G648" s="8">
        <f>CHOOSE( CONTROL!$C$32, 16.8514, 16.8497) * CHOOSE( CONTROL!$C$15, $D$11, 100%, $F$11)</f>
        <v>16.851400000000002</v>
      </c>
      <c r="H648" s="4">
        <f>CHOOSE( CONTROL!$C$32, 17.7864, 17.7848) * CHOOSE(CONTROL!$C$15, $D$11, 100%, $F$11)</f>
        <v>17.7864</v>
      </c>
      <c r="I648" s="8">
        <f>CHOOSE( CONTROL!$C$32, 16.6539, 16.6523) * CHOOSE(CONTROL!$C$15, $D$11, 100%, $F$11)</f>
        <v>16.6539</v>
      </c>
      <c r="J648" s="4">
        <f>CHOOSE( CONTROL!$C$32, 16.5272, 16.5256) * CHOOSE(CONTROL!$C$15, $D$11, 100%, $F$11)</f>
        <v>16.527200000000001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1.2927</v>
      </c>
      <c r="Q648" s="9">
        <v>19.688099999999999</v>
      </c>
      <c r="R648" s="9"/>
      <c r="S648" s="11"/>
    </row>
    <row r="649" spans="1:19" ht="15.75">
      <c r="A649" s="13">
        <v>60905</v>
      </c>
      <c r="B649" s="8">
        <f>CHOOSE( CONTROL!$C$32, 16.684, 16.6823) * CHOOSE(CONTROL!$C$15, $D$11, 100%, $F$11)</f>
        <v>16.684000000000001</v>
      </c>
      <c r="C649" s="8">
        <f>CHOOSE( CONTROL!$C$32, 16.692, 16.6903) * CHOOSE(CONTROL!$C$15, $D$11, 100%, $F$11)</f>
        <v>16.692</v>
      </c>
      <c r="D649" s="8">
        <f>CHOOSE( CONTROL!$C$32, 16.6892, 16.6876) * CHOOSE( CONTROL!$C$15, $D$11, 100%, $F$11)</f>
        <v>16.6892</v>
      </c>
      <c r="E649" s="12">
        <f>CHOOSE( CONTROL!$C$32, 16.689, 16.6874) * CHOOSE( CONTROL!$C$15, $D$11, 100%, $F$11)</f>
        <v>16.689</v>
      </c>
      <c r="F649" s="4">
        <f>CHOOSE( CONTROL!$C$32, 17.3909, 17.3893) * CHOOSE(CONTROL!$C$15, $D$11, 100%, $F$11)</f>
        <v>17.390899999999998</v>
      </c>
      <c r="G649" s="8">
        <f>CHOOSE( CONTROL!$C$32, 16.4988, 16.4972) * CHOOSE( CONTROL!$C$15, $D$11, 100%, $F$11)</f>
        <v>16.498799999999999</v>
      </c>
      <c r="H649" s="4">
        <f>CHOOSE( CONTROL!$C$32, 17.4339, 17.4323) * CHOOSE(CONTROL!$C$15, $D$11, 100%, $F$11)</f>
        <v>17.433900000000001</v>
      </c>
      <c r="I649" s="8">
        <f>CHOOSE( CONTROL!$C$32, 16.3074, 16.3058) * CHOOSE(CONTROL!$C$15, $D$11, 100%, $F$11)</f>
        <v>16.307400000000001</v>
      </c>
      <c r="J649" s="4">
        <f>CHOOSE( CONTROL!$C$32, 16.181, 16.1794) * CHOOSE(CONTROL!$C$15, $D$11, 100%, $F$11)</f>
        <v>16.181000000000001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1.2509999999999999</v>
      </c>
      <c r="Q649" s="9">
        <v>19.053000000000001</v>
      </c>
      <c r="R649" s="9"/>
      <c r="S649" s="11"/>
    </row>
    <row r="650" spans="1:19" ht="15.75">
      <c r="A650" s="13">
        <v>60936</v>
      </c>
      <c r="B650" s="8">
        <f>CHOOSE( CONTROL!$C$32, 17.4223, 17.4212) * CHOOSE(CONTROL!$C$15, $D$11, 100%, $F$11)</f>
        <v>17.4223</v>
      </c>
      <c r="C650" s="8">
        <f>CHOOSE( CONTROL!$C$32, 17.4276, 17.4265) * CHOOSE(CONTROL!$C$15, $D$11, 100%, $F$11)</f>
        <v>17.427600000000002</v>
      </c>
      <c r="D650" s="8">
        <f>CHOOSE( CONTROL!$C$32, 17.4305, 17.4295) * CHOOSE( CONTROL!$C$15, $D$11, 100%, $F$11)</f>
        <v>17.430499999999999</v>
      </c>
      <c r="E650" s="12">
        <f>CHOOSE( CONTROL!$C$32, 17.429, 17.4279) * CHOOSE( CONTROL!$C$15, $D$11, 100%, $F$11)</f>
        <v>17.428999999999998</v>
      </c>
      <c r="F650" s="4">
        <f>CHOOSE( CONTROL!$C$32, 18.131, 18.1299) * CHOOSE(CONTROL!$C$15, $D$11, 100%, $F$11)</f>
        <v>18.131</v>
      </c>
      <c r="G650" s="8">
        <f>CHOOSE( CONTROL!$C$32, 17.2303, 17.2293) * CHOOSE( CONTROL!$C$15, $D$11, 100%, $F$11)</f>
        <v>17.2303</v>
      </c>
      <c r="H650" s="4">
        <f>CHOOSE( CONTROL!$C$32, 18.1653, 18.1642) * CHOOSE(CONTROL!$C$15, $D$11, 100%, $F$11)</f>
        <v>18.165299999999998</v>
      </c>
      <c r="I650" s="8">
        <f>CHOOSE( CONTROL!$C$32, 17.0267, 17.0257) * CHOOSE(CONTROL!$C$15, $D$11, 100%, $F$11)</f>
        <v>17.026700000000002</v>
      </c>
      <c r="J650" s="4">
        <f>CHOOSE( CONTROL!$C$32, 16.8992, 16.8981) * CHOOSE(CONTROL!$C$15, $D$11, 100%, $F$11)</f>
        <v>16.8992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1.2927</v>
      </c>
      <c r="Q650" s="9">
        <v>19.688099999999999</v>
      </c>
      <c r="R650" s="9"/>
      <c r="S650" s="11"/>
    </row>
    <row r="651" spans="1:19" ht="15.75">
      <c r="A651" s="13">
        <v>60966</v>
      </c>
      <c r="B651" s="8">
        <f>CHOOSE( CONTROL!$C$32, 18.7889, 18.7878) * CHOOSE(CONTROL!$C$15, $D$11, 100%, $F$11)</f>
        <v>18.788900000000002</v>
      </c>
      <c r="C651" s="8">
        <f>CHOOSE( CONTROL!$C$32, 18.794, 18.7929) * CHOOSE(CONTROL!$C$15, $D$11, 100%, $F$11)</f>
        <v>18.794</v>
      </c>
      <c r="D651" s="8">
        <f>CHOOSE( CONTROL!$C$32, 18.7761, 18.775) * CHOOSE( CONTROL!$C$15, $D$11, 100%, $F$11)</f>
        <v>18.7761</v>
      </c>
      <c r="E651" s="12">
        <f>CHOOSE( CONTROL!$C$32, 18.7821, 18.781) * CHOOSE( CONTROL!$C$15, $D$11, 100%, $F$11)</f>
        <v>18.7821</v>
      </c>
      <c r="F651" s="4">
        <f>CHOOSE( CONTROL!$C$32, 19.4542, 19.4531) * CHOOSE(CONTROL!$C$15, $D$11, 100%, $F$11)</f>
        <v>19.4542</v>
      </c>
      <c r="G651" s="8">
        <f>CHOOSE( CONTROL!$C$32, 18.5804, 18.5794) * CHOOSE( CONTROL!$C$15, $D$11, 100%, $F$11)</f>
        <v>18.580400000000001</v>
      </c>
      <c r="H651" s="4">
        <f>CHOOSE( CONTROL!$C$32, 19.473, 19.4719) * CHOOSE(CONTROL!$C$15, $D$11, 100%, $F$11)</f>
        <v>19.472999999999999</v>
      </c>
      <c r="I651" s="8">
        <f>CHOOSE( CONTROL!$C$32, 18.4158, 18.4147) * CHOOSE(CONTROL!$C$15, $D$11, 100%, $F$11)</f>
        <v>18.415800000000001</v>
      </c>
      <c r="J651" s="4">
        <f>CHOOSE( CONTROL!$C$32, 18.2259, 18.2248) * CHOOSE(CONTROL!$C$15, $D$11, 100%, $F$11)</f>
        <v>18.225899999999999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60997</v>
      </c>
      <c r="B652" s="8">
        <f>CHOOSE( CONTROL!$C$32, 18.7547, 18.7536) * CHOOSE(CONTROL!$C$15, $D$11, 100%, $F$11)</f>
        <v>18.7547</v>
      </c>
      <c r="C652" s="8">
        <f>CHOOSE( CONTROL!$C$32, 18.7598, 18.7587) * CHOOSE(CONTROL!$C$15, $D$11, 100%, $F$11)</f>
        <v>18.759799999999998</v>
      </c>
      <c r="D652" s="8">
        <f>CHOOSE( CONTROL!$C$32, 18.7434, 18.7423) * CHOOSE( CONTROL!$C$15, $D$11, 100%, $F$11)</f>
        <v>18.743400000000001</v>
      </c>
      <c r="E652" s="12">
        <f>CHOOSE( CONTROL!$C$32, 18.7489, 18.7478) * CHOOSE( CONTROL!$C$15, $D$11, 100%, $F$11)</f>
        <v>18.748899999999999</v>
      </c>
      <c r="F652" s="4">
        <f>CHOOSE( CONTROL!$C$32, 19.42, 19.4189) * CHOOSE(CONTROL!$C$15, $D$11, 100%, $F$11)</f>
        <v>19.420000000000002</v>
      </c>
      <c r="G652" s="8">
        <f>CHOOSE( CONTROL!$C$32, 18.5477, 18.5466) * CHOOSE( CONTROL!$C$15, $D$11, 100%, $F$11)</f>
        <v>18.547699999999999</v>
      </c>
      <c r="H652" s="4">
        <f>CHOOSE( CONTROL!$C$32, 19.4392, 19.4382) * CHOOSE(CONTROL!$C$15, $D$11, 100%, $F$11)</f>
        <v>19.4392</v>
      </c>
      <c r="I652" s="8">
        <f>CHOOSE( CONTROL!$C$32, 18.3871, 18.386) * CHOOSE(CONTROL!$C$15, $D$11, 100%, $F$11)</f>
        <v>18.3871</v>
      </c>
      <c r="J652" s="4">
        <f>CHOOSE( CONTROL!$C$32, 18.1927, 18.1917) * CHOOSE(CONTROL!$C$15, $D$11, 100%, $F$11)</f>
        <v>18.192699999999999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61028</v>
      </c>
      <c r="B653" s="8">
        <f>CHOOSE( CONTROL!$C$32, 19.3076, 19.3065) * CHOOSE(CONTROL!$C$15, $D$11, 100%, $F$11)</f>
        <v>19.307600000000001</v>
      </c>
      <c r="C653" s="8">
        <f>CHOOSE( CONTROL!$C$32, 19.3127, 19.3116) * CHOOSE(CONTROL!$C$15, $D$11, 100%, $F$11)</f>
        <v>19.3127</v>
      </c>
      <c r="D653" s="8">
        <f>CHOOSE( CONTROL!$C$32, 19.2914, 19.2903) * CHOOSE( CONTROL!$C$15, $D$11, 100%, $F$11)</f>
        <v>19.291399999999999</v>
      </c>
      <c r="E653" s="12">
        <f>CHOOSE( CONTROL!$C$32, 19.2986, 19.2975) * CHOOSE( CONTROL!$C$15, $D$11, 100%, $F$11)</f>
        <v>19.2986</v>
      </c>
      <c r="F653" s="4">
        <f>CHOOSE( CONTROL!$C$32, 19.9729, 19.9718) * CHOOSE(CONTROL!$C$15, $D$11, 100%, $F$11)</f>
        <v>19.972899999999999</v>
      </c>
      <c r="G653" s="8">
        <f>CHOOSE( CONTROL!$C$32, 19.0836, 19.0826) * CHOOSE( CONTROL!$C$15, $D$11, 100%, $F$11)</f>
        <v>19.083600000000001</v>
      </c>
      <c r="H653" s="4">
        <f>CHOOSE( CONTROL!$C$32, 19.9857, 19.9846) * CHOOSE(CONTROL!$C$15, $D$11, 100%, $F$11)</f>
        <v>19.985700000000001</v>
      </c>
      <c r="I653" s="8">
        <f>CHOOSE( CONTROL!$C$32, 18.886, 18.885) * CHOOSE(CONTROL!$C$15, $D$11, 100%, $F$11)</f>
        <v>18.885999999999999</v>
      </c>
      <c r="J653" s="4">
        <f>CHOOSE( CONTROL!$C$32, 18.7293, 18.7283) * CHOOSE(CONTROL!$C$15, $D$11, 100%, $F$11)</f>
        <v>18.729299999999999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61056</v>
      </c>
      <c r="B654" s="8">
        <f>CHOOSE( CONTROL!$C$32, 18.0601, 18.059) * CHOOSE(CONTROL!$C$15, $D$11, 100%, $F$11)</f>
        <v>18.060099999999998</v>
      </c>
      <c r="C654" s="8">
        <f>CHOOSE( CONTROL!$C$32, 18.0652, 18.0641) * CHOOSE(CONTROL!$C$15, $D$11, 100%, $F$11)</f>
        <v>18.065200000000001</v>
      </c>
      <c r="D654" s="8">
        <f>CHOOSE( CONTROL!$C$32, 18.0437, 18.0427) * CHOOSE( CONTROL!$C$15, $D$11, 100%, $F$11)</f>
        <v>18.043700000000001</v>
      </c>
      <c r="E654" s="12">
        <f>CHOOSE( CONTROL!$C$32, 18.051, 18.05) * CHOOSE( CONTROL!$C$15, $D$11, 100%, $F$11)</f>
        <v>18.050999999999998</v>
      </c>
      <c r="F654" s="4">
        <f>CHOOSE( CONTROL!$C$32, 18.7254, 18.7243) * CHOOSE(CONTROL!$C$15, $D$11, 100%, $F$11)</f>
        <v>18.7254</v>
      </c>
      <c r="G654" s="8">
        <f>CHOOSE( CONTROL!$C$32, 17.8506, 17.8495) * CHOOSE( CONTROL!$C$15, $D$11, 100%, $F$11)</f>
        <v>17.8506</v>
      </c>
      <c r="H654" s="4">
        <f>CHOOSE( CONTROL!$C$32, 18.7527, 18.7516) * CHOOSE(CONTROL!$C$15, $D$11, 100%, $F$11)</f>
        <v>18.752700000000001</v>
      </c>
      <c r="I654" s="8">
        <f>CHOOSE( CONTROL!$C$32, 17.6742, 17.6732) * CHOOSE(CONTROL!$C$15, $D$11, 100%, $F$11)</f>
        <v>17.674199999999999</v>
      </c>
      <c r="J654" s="4">
        <f>CHOOSE( CONTROL!$C$32, 17.5186, 17.5175) * CHOOSE(CONTROL!$C$15, $D$11, 100%, $F$11)</f>
        <v>17.518599999999999</v>
      </c>
      <c r="K654" s="4"/>
      <c r="L654" s="9">
        <v>26.469899999999999</v>
      </c>
      <c r="M654" s="9">
        <v>10.8962</v>
      </c>
      <c r="N654" s="9">
        <v>4.4660000000000002</v>
      </c>
      <c r="O654" s="9">
        <v>0.33789999999999998</v>
      </c>
      <c r="P654" s="9">
        <v>1.1676</v>
      </c>
      <c r="Q654" s="9">
        <v>17.782800000000002</v>
      </c>
      <c r="R654" s="9"/>
      <c r="S654" s="11"/>
    </row>
    <row r="655" spans="1:19" ht="15.75">
      <c r="A655" s="13">
        <v>61087</v>
      </c>
      <c r="B655" s="8">
        <f>CHOOSE( CONTROL!$C$32, 17.6758, 17.6748) * CHOOSE(CONTROL!$C$15, $D$11, 100%, $F$11)</f>
        <v>17.675799999999999</v>
      </c>
      <c r="C655" s="8">
        <f>CHOOSE( CONTROL!$C$32, 17.6809, 17.6798) * CHOOSE(CONTROL!$C$15, $D$11, 100%, $F$11)</f>
        <v>17.680900000000001</v>
      </c>
      <c r="D655" s="8">
        <f>CHOOSE( CONTROL!$C$32, 17.6589, 17.6578) * CHOOSE( CONTROL!$C$15, $D$11, 100%, $F$11)</f>
        <v>17.658899999999999</v>
      </c>
      <c r="E655" s="12">
        <f>CHOOSE( CONTROL!$C$32, 17.6664, 17.6653) * CHOOSE( CONTROL!$C$15, $D$11, 100%, $F$11)</f>
        <v>17.666399999999999</v>
      </c>
      <c r="F655" s="4">
        <f>CHOOSE( CONTROL!$C$32, 18.3411, 18.34) * CHOOSE(CONTROL!$C$15, $D$11, 100%, $F$11)</f>
        <v>18.341100000000001</v>
      </c>
      <c r="G655" s="8">
        <f>CHOOSE( CONTROL!$C$32, 17.4704, 17.4693) * CHOOSE( CONTROL!$C$15, $D$11, 100%, $F$11)</f>
        <v>17.470400000000001</v>
      </c>
      <c r="H655" s="4">
        <f>CHOOSE( CONTROL!$C$32, 18.373, 18.3719) * CHOOSE(CONTROL!$C$15, $D$11, 100%, $F$11)</f>
        <v>18.373000000000001</v>
      </c>
      <c r="I655" s="8">
        <f>CHOOSE( CONTROL!$C$32, 17.2992, 17.2981) * CHOOSE(CONTROL!$C$15, $D$11, 100%, $F$11)</f>
        <v>17.299199999999999</v>
      </c>
      <c r="J655" s="4">
        <f>CHOOSE( CONTROL!$C$32, 17.1456, 17.1446) * CHOOSE(CONTROL!$C$15, $D$11, 100%, $F$11)</f>
        <v>17.145600000000002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61117</v>
      </c>
      <c r="B656" s="8">
        <f>CHOOSE( CONTROL!$C$32, 17.9451, 17.944) * CHOOSE(CONTROL!$C$15, $D$11, 100%, $F$11)</f>
        <v>17.9451</v>
      </c>
      <c r="C656" s="8">
        <f>CHOOSE( CONTROL!$C$32, 17.9496, 17.9485) * CHOOSE(CONTROL!$C$15, $D$11, 100%, $F$11)</f>
        <v>17.9496</v>
      </c>
      <c r="D656" s="8">
        <f>CHOOSE( CONTROL!$C$32, 17.9525, 17.9514) * CHOOSE( CONTROL!$C$15, $D$11, 100%, $F$11)</f>
        <v>17.952500000000001</v>
      </c>
      <c r="E656" s="12">
        <f>CHOOSE( CONTROL!$C$32, 17.951, 17.9499) * CHOOSE( CONTROL!$C$15, $D$11, 100%, $F$11)</f>
        <v>17.951000000000001</v>
      </c>
      <c r="F656" s="4">
        <f>CHOOSE( CONTROL!$C$32, 18.6534, 18.6523) * CHOOSE(CONTROL!$C$15, $D$11, 100%, $F$11)</f>
        <v>18.653400000000001</v>
      </c>
      <c r="G656" s="8">
        <f>CHOOSE( CONTROL!$C$32, 17.7462, 17.7452) * CHOOSE( CONTROL!$C$15, $D$11, 100%, $F$11)</f>
        <v>17.746200000000002</v>
      </c>
      <c r="H656" s="4">
        <f>CHOOSE( CONTROL!$C$32, 18.6816, 18.6805) * CHOOSE(CONTROL!$C$15, $D$11, 100%, $F$11)</f>
        <v>18.6816</v>
      </c>
      <c r="I656" s="8">
        <f>CHOOSE( CONTROL!$C$32, 17.5321, 17.5311) * CHOOSE(CONTROL!$C$15, $D$11, 100%, $F$11)</f>
        <v>17.5321</v>
      </c>
      <c r="J656" s="4">
        <f>CHOOSE( CONTROL!$C$32, 17.4062, 17.4052) * CHOOSE(CONTROL!$C$15, $D$11, 100%, $F$11)</f>
        <v>17.406199999999998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1.2509999999999999</v>
      </c>
      <c r="Q656" s="9">
        <v>19.053000000000001</v>
      </c>
      <c r="R656" s="9"/>
      <c r="S656" s="11"/>
    </row>
    <row r="657" spans="1:19" ht="15.75">
      <c r="A657" s="13">
        <v>61148</v>
      </c>
      <c r="B657" s="8">
        <f>CHOOSE( CONTROL!$C$32, 18.4249, 18.4233) * CHOOSE(CONTROL!$C$15, $D$11, 100%, $F$11)</f>
        <v>18.424900000000001</v>
      </c>
      <c r="C657" s="8">
        <f>CHOOSE( CONTROL!$C$32, 18.4329, 18.4312) * CHOOSE(CONTROL!$C$15, $D$11, 100%, $F$11)</f>
        <v>18.4329</v>
      </c>
      <c r="D657" s="8">
        <f>CHOOSE( CONTROL!$C$32, 18.4296, 18.428) * CHOOSE( CONTROL!$C$15, $D$11, 100%, $F$11)</f>
        <v>18.429600000000001</v>
      </c>
      <c r="E657" s="12">
        <f>CHOOSE( CONTROL!$C$32, 18.4296, 18.428) * CHOOSE( CONTROL!$C$15, $D$11, 100%, $F$11)</f>
        <v>18.429600000000001</v>
      </c>
      <c r="F657" s="4">
        <f>CHOOSE( CONTROL!$C$32, 19.1319, 19.1302) * CHOOSE(CONTROL!$C$15, $D$11, 100%, $F$11)</f>
        <v>19.131900000000002</v>
      </c>
      <c r="G657" s="8">
        <f>CHOOSE( CONTROL!$C$32, 18.2189, 18.2173) * CHOOSE( CONTROL!$C$15, $D$11, 100%, $F$11)</f>
        <v>18.218900000000001</v>
      </c>
      <c r="H657" s="4">
        <f>CHOOSE( CONTROL!$C$32, 19.1544, 19.1528) * CHOOSE(CONTROL!$C$15, $D$11, 100%, $F$11)</f>
        <v>19.154399999999999</v>
      </c>
      <c r="I657" s="8">
        <f>CHOOSE( CONTROL!$C$32, 17.996, 17.9944) * CHOOSE(CONTROL!$C$15, $D$11, 100%, $F$11)</f>
        <v>17.995999999999999</v>
      </c>
      <c r="J657" s="4">
        <f>CHOOSE( CONTROL!$C$32, 17.8706, 17.8689) * CHOOSE(CONTROL!$C$15, $D$11, 100%, $F$11)</f>
        <v>17.8706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1.2927</v>
      </c>
      <c r="Q657" s="9">
        <v>19.688099999999999</v>
      </c>
      <c r="R657" s="9"/>
      <c r="S657" s="11"/>
    </row>
    <row r="658" spans="1:19" ht="15.75">
      <c r="A658" s="13">
        <v>61178</v>
      </c>
      <c r="B658" s="8">
        <f>CHOOSE( CONTROL!$C$32, 18.1289, 18.1272) * CHOOSE(CONTROL!$C$15, $D$11, 100%, $F$11)</f>
        <v>18.128900000000002</v>
      </c>
      <c r="C658" s="8">
        <f>CHOOSE( CONTROL!$C$32, 18.1369, 18.1352) * CHOOSE(CONTROL!$C$15, $D$11, 100%, $F$11)</f>
        <v>18.136900000000001</v>
      </c>
      <c r="D658" s="8">
        <f>CHOOSE( CONTROL!$C$32, 18.1338, 18.1322) * CHOOSE( CONTROL!$C$15, $D$11, 100%, $F$11)</f>
        <v>18.133800000000001</v>
      </c>
      <c r="E658" s="12">
        <f>CHOOSE( CONTROL!$C$32, 18.1337, 18.1321) * CHOOSE( CONTROL!$C$15, $D$11, 100%, $F$11)</f>
        <v>18.133700000000001</v>
      </c>
      <c r="F658" s="4">
        <f>CHOOSE( CONTROL!$C$32, 18.8358, 18.8342) * CHOOSE(CONTROL!$C$15, $D$11, 100%, $F$11)</f>
        <v>18.835799999999999</v>
      </c>
      <c r="G658" s="8">
        <f>CHOOSE( CONTROL!$C$32, 17.9266, 17.9249) * CHOOSE( CONTROL!$C$15, $D$11, 100%, $F$11)</f>
        <v>17.926600000000001</v>
      </c>
      <c r="H658" s="4">
        <f>CHOOSE( CONTROL!$C$32, 18.8619, 18.8603) * CHOOSE(CONTROL!$C$15, $D$11, 100%, $F$11)</f>
        <v>18.861899999999999</v>
      </c>
      <c r="I658" s="8">
        <f>CHOOSE( CONTROL!$C$32, 17.7093, 17.7077) * CHOOSE(CONTROL!$C$15, $D$11, 100%, $F$11)</f>
        <v>17.709299999999999</v>
      </c>
      <c r="J658" s="4">
        <f>CHOOSE( CONTROL!$C$32, 17.5833, 17.5817) * CHOOSE(CONTROL!$C$15, $D$11, 100%, $F$11)</f>
        <v>17.583300000000001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1.2509999999999999</v>
      </c>
      <c r="Q658" s="9">
        <v>19.053000000000001</v>
      </c>
      <c r="R658" s="9"/>
      <c r="S658" s="11"/>
    </row>
    <row r="659" spans="1:19" ht="15.75">
      <c r="A659" s="13">
        <v>61209</v>
      </c>
      <c r="B659" s="8">
        <f>CHOOSE( CONTROL!$C$32, 18.9084, 18.9068) * CHOOSE(CONTROL!$C$15, $D$11, 100%, $F$11)</f>
        <v>18.9084</v>
      </c>
      <c r="C659" s="8">
        <f>CHOOSE( CONTROL!$C$32, 18.9164, 18.9147) * CHOOSE(CONTROL!$C$15, $D$11, 100%, $F$11)</f>
        <v>18.916399999999999</v>
      </c>
      <c r="D659" s="8">
        <f>CHOOSE( CONTROL!$C$32, 18.9136, 18.912) * CHOOSE( CONTROL!$C$15, $D$11, 100%, $F$11)</f>
        <v>18.913599999999999</v>
      </c>
      <c r="E659" s="12">
        <f>CHOOSE( CONTROL!$C$32, 18.9134, 18.9118) * CHOOSE( CONTROL!$C$15, $D$11, 100%, $F$11)</f>
        <v>18.913399999999999</v>
      </c>
      <c r="F659" s="4">
        <f>CHOOSE( CONTROL!$C$32, 19.6154, 19.6137) * CHOOSE(CONTROL!$C$15, $D$11, 100%, $F$11)</f>
        <v>19.615400000000001</v>
      </c>
      <c r="G659" s="8">
        <f>CHOOSE( CONTROL!$C$32, 18.6972, 18.6955) * CHOOSE( CONTROL!$C$15, $D$11, 100%, $F$11)</f>
        <v>18.697199999999999</v>
      </c>
      <c r="H659" s="4">
        <f>CHOOSE( CONTROL!$C$32, 19.6323, 19.6307) * CHOOSE(CONTROL!$C$15, $D$11, 100%, $F$11)</f>
        <v>19.632300000000001</v>
      </c>
      <c r="I659" s="8">
        <f>CHOOSE( CONTROL!$C$32, 18.4671, 18.4655) * CHOOSE(CONTROL!$C$15, $D$11, 100%, $F$11)</f>
        <v>18.467099999999999</v>
      </c>
      <c r="J659" s="4">
        <f>CHOOSE( CONTROL!$C$32, 18.3398, 18.3382) * CHOOSE(CONTROL!$C$15, $D$11, 100%, $F$11)</f>
        <v>18.3398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1.2927</v>
      </c>
      <c r="Q659" s="9">
        <v>19.688099999999999</v>
      </c>
      <c r="R659" s="9"/>
      <c r="S659" s="11"/>
    </row>
    <row r="660" spans="1:19" ht="15.75">
      <c r="A660" s="13">
        <v>61240</v>
      </c>
      <c r="B660" s="8">
        <f>CHOOSE( CONTROL!$C$32, 17.4498, 17.4482) * CHOOSE(CONTROL!$C$15, $D$11, 100%, $F$11)</f>
        <v>17.4498</v>
      </c>
      <c r="C660" s="8">
        <f>CHOOSE( CONTROL!$C$32, 17.4578, 17.4561) * CHOOSE(CONTROL!$C$15, $D$11, 100%, $F$11)</f>
        <v>17.457799999999999</v>
      </c>
      <c r="D660" s="8">
        <f>CHOOSE( CONTROL!$C$32, 17.4551, 17.4534) * CHOOSE( CONTROL!$C$15, $D$11, 100%, $F$11)</f>
        <v>17.455100000000002</v>
      </c>
      <c r="E660" s="12">
        <f>CHOOSE( CONTROL!$C$32, 17.4549, 17.4532) * CHOOSE( CONTROL!$C$15, $D$11, 100%, $F$11)</f>
        <v>17.454899999999999</v>
      </c>
      <c r="F660" s="4">
        <f>CHOOSE( CONTROL!$C$32, 18.1568, 18.1551) * CHOOSE(CONTROL!$C$15, $D$11, 100%, $F$11)</f>
        <v>18.1568</v>
      </c>
      <c r="G660" s="8">
        <f>CHOOSE( CONTROL!$C$32, 17.2557, 17.2541) * CHOOSE( CONTROL!$C$15, $D$11, 100%, $F$11)</f>
        <v>17.255700000000001</v>
      </c>
      <c r="H660" s="4">
        <f>CHOOSE( CONTROL!$C$32, 18.1908, 18.1891) * CHOOSE(CONTROL!$C$15, $D$11, 100%, $F$11)</f>
        <v>18.190799999999999</v>
      </c>
      <c r="I660" s="8">
        <f>CHOOSE( CONTROL!$C$32, 17.0511, 17.0495) * CHOOSE(CONTROL!$C$15, $D$11, 100%, $F$11)</f>
        <v>17.051100000000002</v>
      </c>
      <c r="J660" s="4">
        <f>CHOOSE( CONTROL!$C$32, 16.9242, 16.9226) * CHOOSE(CONTROL!$C$15, $D$11, 100%, $F$11)</f>
        <v>16.924199999999999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1.2927</v>
      </c>
      <c r="Q660" s="9">
        <v>19.688099999999999</v>
      </c>
      <c r="R660" s="9"/>
      <c r="S660" s="11"/>
    </row>
    <row r="661" spans="1:19" ht="15.75">
      <c r="A661" s="13">
        <v>61270</v>
      </c>
      <c r="B661" s="8">
        <f>CHOOSE( CONTROL!$C$32, 17.0846, 17.0829) * CHOOSE(CONTROL!$C$15, $D$11, 100%, $F$11)</f>
        <v>17.084599999999998</v>
      </c>
      <c r="C661" s="8">
        <f>CHOOSE( CONTROL!$C$32, 17.0925, 17.0909) * CHOOSE(CONTROL!$C$15, $D$11, 100%, $F$11)</f>
        <v>17.092500000000001</v>
      </c>
      <c r="D661" s="8">
        <f>CHOOSE( CONTROL!$C$32, 17.0898, 17.0881) * CHOOSE( CONTROL!$C$15, $D$11, 100%, $F$11)</f>
        <v>17.0898</v>
      </c>
      <c r="E661" s="12">
        <f>CHOOSE( CONTROL!$C$32, 17.0896, 17.0879) * CHOOSE( CONTROL!$C$15, $D$11, 100%, $F$11)</f>
        <v>17.089600000000001</v>
      </c>
      <c r="F661" s="4">
        <f>CHOOSE( CONTROL!$C$32, 17.7915, 17.7899) * CHOOSE(CONTROL!$C$15, $D$11, 100%, $F$11)</f>
        <v>17.791499999999999</v>
      </c>
      <c r="G661" s="8">
        <f>CHOOSE( CONTROL!$C$32, 16.8947, 16.8931) * CHOOSE( CONTROL!$C$15, $D$11, 100%, $F$11)</f>
        <v>16.8947</v>
      </c>
      <c r="H661" s="4">
        <f>CHOOSE( CONTROL!$C$32, 17.8298, 17.8282) * CHOOSE(CONTROL!$C$15, $D$11, 100%, $F$11)</f>
        <v>17.829799999999999</v>
      </c>
      <c r="I661" s="8">
        <f>CHOOSE( CONTROL!$C$32, 16.6963, 16.6947) * CHOOSE(CONTROL!$C$15, $D$11, 100%, $F$11)</f>
        <v>16.696300000000001</v>
      </c>
      <c r="J661" s="4">
        <f>CHOOSE( CONTROL!$C$32, 16.5698, 16.5681) * CHOOSE(CONTROL!$C$15, $D$11, 100%, $F$11)</f>
        <v>16.569800000000001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1.2509999999999999</v>
      </c>
      <c r="Q661" s="9">
        <v>19.053000000000001</v>
      </c>
      <c r="R661" s="9"/>
      <c r="S661" s="11"/>
    </row>
    <row r="662" spans="1:19" ht="15.75">
      <c r="A662" s="13">
        <v>61301</v>
      </c>
      <c r="B662" s="8">
        <f>CHOOSE( CONTROL!$C$32, 17.8407, 17.8396) * CHOOSE(CONTROL!$C$15, $D$11, 100%, $F$11)</f>
        <v>17.840699999999998</v>
      </c>
      <c r="C662" s="8">
        <f>CHOOSE( CONTROL!$C$32, 17.846, 17.8449) * CHOOSE(CONTROL!$C$15, $D$11, 100%, $F$11)</f>
        <v>17.846</v>
      </c>
      <c r="D662" s="8">
        <f>CHOOSE( CONTROL!$C$32, 17.8489, 17.8478) * CHOOSE( CONTROL!$C$15, $D$11, 100%, $F$11)</f>
        <v>17.8489</v>
      </c>
      <c r="E662" s="12">
        <f>CHOOSE( CONTROL!$C$32, 17.8474, 17.8463) * CHOOSE( CONTROL!$C$15, $D$11, 100%, $F$11)</f>
        <v>17.8474</v>
      </c>
      <c r="F662" s="4">
        <f>CHOOSE( CONTROL!$C$32, 18.5493, 18.5482) * CHOOSE(CONTROL!$C$15, $D$11, 100%, $F$11)</f>
        <v>18.549299999999999</v>
      </c>
      <c r="G662" s="8">
        <f>CHOOSE( CONTROL!$C$32, 17.6438, 17.6427) * CHOOSE( CONTROL!$C$15, $D$11, 100%, $F$11)</f>
        <v>17.643799999999999</v>
      </c>
      <c r="H662" s="4">
        <f>CHOOSE( CONTROL!$C$32, 18.5787, 18.5777) * CHOOSE(CONTROL!$C$15, $D$11, 100%, $F$11)</f>
        <v>18.578700000000001</v>
      </c>
      <c r="I662" s="8">
        <f>CHOOSE( CONTROL!$C$32, 17.4329, 17.4319) * CHOOSE(CONTROL!$C$15, $D$11, 100%, $F$11)</f>
        <v>17.4329</v>
      </c>
      <c r="J662" s="4">
        <f>CHOOSE( CONTROL!$C$32, 17.3052, 17.3042) * CHOOSE(CONTROL!$C$15, $D$11, 100%, $F$11)</f>
        <v>17.305199999999999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1.2927</v>
      </c>
      <c r="Q662" s="9">
        <v>19.688099999999999</v>
      </c>
      <c r="R662" s="9"/>
      <c r="S662" s="11"/>
    </row>
    <row r="663" spans="1:19" ht="15.75">
      <c r="A663" s="13">
        <v>61331</v>
      </c>
      <c r="B663" s="8">
        <f>CHOOSE( CONTROL!$C$32, 19.2401, 19.239) * CHOOSE(CONTROL!$C$15, $D$11, 100%, $F$11)</f>
        <v>19.240100000000002</v>
      </c>
      <c r="C663" s="8">
        <f>CHOOSE( CONTROL!$C$32, 19.2452, 19.2441) * CHOOSE(CONTROL!$C$15, $D$11, 100%, $F$11)</f>
        <v>19.245200000000001</v>
      </c>
      <c r="D663" s="8">
        <f>CHOOSE( CONTROL!$C$32, 19.2273, 19.2263) * CHOOSE( CONTROL!$C$15, $D$11, 100%, $F$11)</f>
        <v>19.2273</v>
      </c>
      <c r="E663" s="12">
        <f>CHOOSE( CONTROL!$C$32, 19.2333, 19.2323) * CHOOSE( CONTROL!$C$15, $D$11, 100%, $F$11)</f>
        <v>19.2333</v>
      </c>
      <c r="F663" s="4">
        <f>CHOOSE( CONTROL!$C$32, 19.9054, 19.9043) * CHOOSE(CONTROL!$C$15, $D$11, 100%, $F$11)</f>
        <v>19.9054</v>
      </c>
      <c r="G663" s="8">
        <f>CHOOSE( CONTROL!$C$32, 19.0263, 19.0253) * CHOOSE( CONTROL!$C$15, $D$11, 100%, $F$11)</f>
        <v>19.026299999999999</v>
      </c>
      <c r="H663" s="4">
        <f>CHOOSE( CONTROL!$C$32, 19.9189, 19.9178) * CHOOSE(CONTROL!$C$15, $D$11, 100%, $F$11)</f>
        <v>19.918900000000001</v>
      </c>
      <c r="I663" s="8">
        <f>CHOOSE( CONTROL!$C$32, 18.8539, 18.8529) * CHOOSE(CONTROL!$C$15, $D$11, 100%, $F$11)</f>
        <v>18.853899999999999</v>
      </c>
      <c r="J663" s="4">
        <f>CHOOSE( CONTROL!$C$32, 18.6638, 18.6627) * CHOOSE(CONTROL!$C$15, $D$11, 100%, $F$11)</f>
        <v>18.663799999999998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61362</v>
      </c>
      <c r="B664" s="8">
        <f>CHOOSE( CONTROL!$C$32, 19.2051, 19.204) * CHOOSE(CONTROL!$C$15, $D$11, 100%, $F$11)</f>
        <v>19.205100000000002</v>
      </c>
      <c r="C664" s="8">
        <f>CHOOSE( CONTROL!$C$32, 19.2102, 19.2091) * CHOOSE(CONTROL!$C$15, $D$11, 100%, $F$11)</f>
        <v>19.2102</v>
      </c>
      <c r="D664" s="8">
        <f>CHOOSE( CONTROL!$C$32, 19.1938, 19.1927) * CHOOSE( CONTROL!$C$15, $D$11, 100%, $F$11)</f>
        <v>19.1938</v>
      </c>
      <c r="E664" s="12">
        <f>CHOOSE( CONTROL!$C$32, 19.1993, 19.1982) * CHOOSE( CONTROL!$C$15, $D$11, 100%, $F$11)</f>
        <v>19.199300000000001</v>
      </c>
      <c r="F664" s="4">
        <f>CHOOSE( CONTROL!$C$32, 19.8704, 19.8693) * CHOOSE(CONTROL!$C$15, $D$11, 100%, $F$11)</f>
        <v>19.8704</v>
      </c>
      <c r="G664" s="8">
        <f>CHOOSE( CONTROL!$C$32, 18.9928, 18.9917) * CHOOSE( CONTROL!$C$15, $D$11, 100%, $F$11)</f>
        <v>18.992799999999999</v>
      </c>
      <c r="H664" s="4">
        <f>CHOOSE( CONTROL!$C$32, 19.8843, 19.8833) * CHOOSE(CONTROL!$C$15, $D$11, 100%, $F$11)</f>
        <v>19.8843</v>
      </c>
      <c r="I664" s="8">
        <f>CHOOSE( CONTROL!$C$32, 18.8244, 18.8234) * CHOOSE(CONTROL!$C$15, $D$11, 100%, $F$11)</f>
        <v>18.824400000000001</v>
      </c>
      <c r="J664" s="4">
        <f>CHOOSE( CONTROL!$C$32, 18.6298, 18.6288) * CHOOSE(CONTROL!$C$15, $D$11, 100%, $F$11)</f>
        <v>18.629799999999999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61393</v>
      </c>
      <c r="B665" s="8">
        <f>CHOOSE( CONTROL!$C$32, 19.7713, 19.7702) * CHOOSE(CONTROL!$C$15, $D$11, 100%, $F$11)</f>
        <v>19.7713</v>
      </c>
      <c r="C665" s="8">
        <f>CHOOSE( CONTROL!$C$32, 19.7764, 19.7753) * CHOOSE(CONTROL!$C$15, $D$11, 100%, $F$11)</f>
        <v>19.776399999999999</v>
      </c>
      <c r="D665" s="8">
        <f>CHOOSE( CONTROL!$C$32, 19.7551, 19.754) * CHOOSE( CONTROL!$C$15, $D$11, 100%, $F$11)</f>
        <v>19.755099999999999</v>
      </c>
      <c r="E665" s="12">
        <f>CHOOSE( CONTROL!$C$32, 19.7623, 19.7612) * CHOOSE( CONTROL!$C$15, $D$11, 100%, $F$11)</f>
        <v>19.7623</v>
      </c>
      <c r="F665" s="4">
        <f>CHOOSE( CONTROL!$C$32, 20.4366, 20.4355) * CHOOSE(CONTROL!$C$15, $D$11, 100%, $F$11)</f>
        <v>20.436599999999999</v>
      </c>
      <c r="G665" s="8">
        <f>CHOOSE( CONTROL!$C$32, 19.5419, 19.5408) * CHOOSE( CONTROL!$C$15, $D$11, 100%, $F$11)</f>
        <v>19.541899999999998</v>
      </c>
      <c r="H665" s="4">
        <f>CHOOSE( CONTROL!$C$32, 20.4439, 20.4428) * CHOOSE(CONTROL!$C$15, $D$11, 100%, $F$11)</f>
        <v>20.443899999999999</v>
      </c>
      <c r="I665" s="8">
        <f>CHOOSE( CONTROL!$C$32, 19.3362, 19.3352) * CHOOSE(CONTROL!$C$15, $D$11, 100%, $F$11)</f>
        <v>19.336200000000002</v>
      </c>
      <c r="J665" s="4">
        <f>CHOOSE( CONTROL!$C$32, 19.1793, 19.1782) * CHOOSE(CONTROL!$C$15, $D$11, 100%, $F$11)</f>
        <v>19.179300000000001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61422</v>
      </c>
      <c r="B666" s="8">
        <f>CHOOSE( CONTROL!$C$32, 18.4938, 18.4927) * CHOOSE(CONTROL!$C$15, $D$11, 100%, $F$11)</f>
        <v>18.4938</v>
      </c>
      <c r="C666" s="8">
        <f>CHOOSE( CONTROL!$C$32, 18.4989, 18.4978) * CHOOSE(CONTROL!$C$15, $D$11, 100%, $F$11)</f>
        <v>18.498899999999999</v>
      </c>
      <c r="D666" s="8">
        <f>CHOOSE( CONTROL!$C$32, 18.4774, 18.4764) * CHOOSE( CONTROL!$C$15, $D$11, 100%, $F$11)</f>
        <v>18.477399999999999</v>
      </c>
      <c r="E666" s="12">
        <f>CHOOSE( CONTROL!$C$32, 18.4847, 18.4837) * CHOOSE( CONTROL!$C$15, $D$11, 100%, $F$11)</f>
        <v>18.4847</v>
      </c>
      <c r="F666" s="4">
        <f>CHOOSE( CONTROL!$C$32, 19.1591, 19.158) * CHOOSE(CONTROL!$C$15, $D$11, 100%, $F$11)</f>
        <v>19.159099999999999</v>
      </c>
      <c r="G666" s="8">
        <f>CHOOSE( CONTROL!$C$32, 18.2792, 18.2782) * CHOOSE( CONTROL!$C$15, $D$11, 100%, $F$11)</f>
        <v>18.279199999999999</v>
      </c>
      <c r="H666" s="4">
        <f>CHOOSE( CONTROL!$C$32, 19.1813, 19.1803) * CHOOSE(CONTROL!$C$15, $D$11, 100%, $F$11)</f>
        <v>19.1813</v>
      </c>
      <c r="I666" s="8">
        <f>CHOOSE( CONTROL!$C$32, 18.0954, 18.0943) * CHOOSE(CONTROL!$C$15, $D$11, 100%, $F$11)</f>
        <v>18.095400000000001</v>
      </c>
      <c r="J666" s="4">
        <f>CHOOSE( CONTROL!$C$32, 17.9395, 17.9384) * CHOOSE(CONTROL!$C$15, $D$11, 100%, $F$11)</f>
        <v>17.939499999999999</v>
      </c>
      <c r="K666" s="4"/>
      <c r="L666" s="9">
        <v>27.415299999999998</v>
      </c>
      <c r="M666" s="9">
        <v>11.285299999999999</v>
      </c>
      <c r="N666" s="9">
        <v>4.6254999999999997</v>
      </c>
      <c r="O666" s="9">
        <v>0.34989999999999999</v>
      </c>
      <c r="P666" s="9">
        <v>1.2093</v>
      </c>
      <c r="Q666" s="9">
        <v>18.417899999999999</v>
      </c>
      <c r="R666" s="9"/>
      <c r="S666" s="11"/>
    </row>
    <row r="667" spans="1:19" ht="15.75">
      <c r="A667" s="13">
        <v>61453</v>
      </c>
      <c r="B667" s="8">
        <f>CHOOSE( CONTROL!$C$32, 18.1003, 18.0992) * CHOOSE(CONTROL!$C$15, $D$11, 100%, $F$11)</f>
        <v>18.100300000000001</v>
      </c>
      <c r="C667" s="8">
        <f>CHOOSE( CONTROL!$C$32, 18.1054, 18.1043) * CHOOSE(CONTROL!$C$15, $D$11, 100%, $F$11)</f>
        <v>18.105399999999999</v>
      </c>
      <c r="D667" s="8">
        <f>CHOOSE( CONTROL!$C$32, 18.0833, 18.0822) * CHOOSE( CONTROL!$C$15, $D$11, 100%, $F$11)</f>
        <v>18.083300000000001</v>
      </c>
      <c r="E667" s="12">
        <f>CHOOSE( CONTROL!$C$32, 18.0908, 18.0897) * CHOOSE( CONTROL!$C$15, $D$11, 100%, $F$11)</f>
        <v>18.090800000000002</v>
      </c>
      <c r="F667" s="4">
        <f>CHOOSE( CONTROL!$C$32, 18.7656, 18.7645) * CHOOSE(CONTROL!$C$15, $D$11, 100%, $F$11)</f>
        <v>18.765599999999999</v>
      </c>
      <c r="G667" s="8">
        <f>CHOOSE( CONTROL!$C$32, 17.8899, 17.8888) * CHOOSE( CONTROL!$C$15, $D$11, 100%, $F$11)</f>
        <v>17.889900000000001</v>
      </c>
      <c r="H667" s="4">
        <f>CHOOSE( CONTROL!$C$32, 18.7925, 18.7914) * CHOOSE(CONTROL!$C$15, $D$11, 100%, $F$11)</f>
        <v>18.7925</v>
      </c>
      <c r="I667" s="8">
        <f>CHOOSE( CONTROL!$C$32, 17.7113, 17.7103) * CHOOSE(CONTROL!$C$15, $D$11, 100%, $F$11)</f>
        <v>17.711300000000001</v>
      </c>
      <c r="J667" s="4">
        <f>CHOOSE( CONTROL!$C$32, 17.5576, 17.5565) * CHOOSE(CONTROL!$C$15, $D$11, 100%, $F$11)</f>
        <v>17.557600000000001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61483</v>
      </c>
      <c r="B668" s="8">
        <f>CHOOSE( CONTROL!$C$32, 18.376, 18.3749) * CHOOSE(CONTROL!$C$15, $D$11, 100%, $F$11)</f>
        <v>18.376000000000001</v>
      </c>
      <c r="C668" s="8">
        <f>CHOOSE( CONTROL!$C$32, 18.3805, 18.3794) * CHOOSE(CONTROL!$C$15, $D$11, 100%, $F$11)</f>
        <v>18.380500000000001</v>
      </c>
      <c r="D668" s="8">
        <f>CHOOSE( CONTROL!$C$32, 18.3834, 18.3823) * CHOOSE( CONTROL!$C$15, $D$11, 100%, $F$11)</f>
        <v>18.383400000000002</v>
      </c>
      <c r="E668" s="12">
        <f>CHOOSE( CONTROL!$C$32, 18.3819, 18.3808) * CHOOSE( CONTROL!$C$15, $D$11, 100%, $F$11)</f>
        <v>18.381900000000002</v>
      </c>
      <c r="F668" s="4">
        <f>CHOOSE( CONTROL!$C$32, 19.0843, 19.0832) * CHOOSE(CONTROL!$C$15, $D$11, 100%, $F$11)</f>
        <v>19.084299999999999</v>
      </c>
      <c r="G668" s="8">
        <f>CHOOSE( CONTROL!$C$32, 18.1721, 18.171) * CHOOSE( CONTROL!$C$15, $D$11, 100%, $F$11)</f>
        <v>18.1721</v>
      </c>
      <c r="H668" s="4">
        <f>CHOOSE( CONTROL!$C$32, 19.1075, 19.1064) * CHOOSE(CONTROL!$C$15, $D$11, 100%, $F$11)</f>
        <v>19.107500000000002</v>
      </c>
      <c r="I668" s="8">
        <f>CHOOSE( CONTROL!$C$32, 17.9505, 17.9495) * CHOOSE(CONTROL!$C$15, $D$11, 100%, $F$11)</f>
        <v>17.950500000000002</v>
      </c>
      <c r="J668" s="4">
        <f>CHOOSE( CONTROL!$C$32, 17.8244, 17.8234) * CHOOSE(CONTROL!$C$15, $D$11, 100%, $F$11)</f>
        <v>17.824400000000001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1.2509999999999999</v>
      </c>
      <c r="Q668" s="9">
        <v>19.053000000000001</v>
      </c>
      <c r="R668" s="9"/>
      <c r="S668" s="11"/>
    </row>
    <row r="669" spans="1:19" ht="15.75">
      <c r="A669" s="13">
        <v>61514</v>
      </c>
      <c r="B669" s="8">
        <f>CHOOSE( CONTROL!$C$32, 18.8673, 18.8657) * CHOOSE(CONTROL!$C$15, $D$11, 100%, $F$11)</f>
        <v>18.8673</v>
      </c>
      <c r="C669" s="8">
        <f>CHOOSE( CONTROL!$C$32, 18.8753, 18.8736) * CHOOSE(CONTROL!$C$15, $D$11, 100%, $F$11)</f>
        <v>18.875299999999999</v>
      </c>
      <c r="D669" s="8">
        <f>CHOOSE( CONTROL!$C$32, 18.872, 18.8704) * CHOOSE( CONTROL!$C$15, $D$11, 100%, $F$11)</f>
        <v>18.872</v>
      </c>
      <c r="E669" s="12">
        <f>CHOOSE( CONTROL!$C$32, 18.872, 18.8704) * CHOOSE( CONTROL!$C$15, $D$11, 100%, $F$11)</f>
        <v>18.872</v>
      </c>
      <c r="F669" s="4">
        <f>CHOOSE( CONTROL!$C$32, 19.5742, 19.5726) * CHOOSE(CONTROL!$C$15, $D$11, 100%, $F$11)</f>
        <v>19.574200000000001</v>
      </c>
      <c r="G669" s="8">
        <f>CHOOSE( CONTROL!$C$32, 18.6562, 18.6545) * CHOOSE( CONTROL!$C$15, $D$11, 100%, $F$11)</f>
        <v>18.656199999999998</v>
      </c>
      <c r="H669" s="4">
        <f>CHOOSE( CONTROL!$C$32, 19.5917, 19.59) * CHOOSE(CONTROL!$C$15, $D$11, 100%, $F$11)</f>
        <v>19.591699999999999</v>
      </c>
      <c r="I669" s="8">
        <f>CHOOSE( CONTROL!$C$32, 18.4255, 18.4239) * CHOOSE(CONTROL!$C$15, $D$11, 100%, $F$11)</f>
        <v>18.4255</v>
      </c>
      <c r="J669" s="4">
        <f>CHOOSE( CONTROL!$C$32, 18.2999, 18.2983) * CHOOSE(CONTROL!$C$15, $D$11, 100%, $F$11)</f>
        <v>18.299900000000001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1.2927</v>
      </c>
      <c r="Q669" s="9">
        <v>19.688099999999999</v>
      </c>
      <c r="R669" s="9"/>
      <c r="S669" s="11"/>
    </row>
    <row r="670" spans="1:19" ht="15.75">
      <c r="A670" s="13">
        <v>61544</v>
      </c>
      <c r="B670" s="8">
        <f>CHOOSE( CONTROL!$C$32, 18.5642, 18.5625) * CHOOSE(CONTROL!$C$15, $D$11, 100%, $F$11)</f>
        <v>18.5642</v>
      </c>
      <c r="C670" s="8">
        <f>CHOOSE( CONTROL!$C$32, 18.5721, 18.5705) * CHOOSE(CONTROL!$C$15, $D$11, 100%, $F$11)</f>
        <v>18.572099999999999</v>
      </c>
      <c r="D670" s="8">
        <f>CHOOSE( CONTROL!$C$32, 18.5691, 18.5675) * CHOOSE( CONTROL!$C$15, $D$11, 100%, $F$11)</f>
        <v>18.569099999999999</v>
      </c>
      <c r="E670" s="12">
        <f>CHOOSE( CONTROL!$C$32, 18.569, 18.5674) * CHOOSE( CONTROL!$C$15, $D$11, 100%, $F$11)</f>
        <v>18.568999999999999</v>
      </c>
      <c r="F670" s="4">
        <f>CHOOSE( CONTROL!$C$32, 19.2711, 19.2695) * CHOOSE(CONTROL!$C$15, $D$11, 100%, $F$11)</f>
        <v>19.271100000000001</v>
      </c>
      <c r="G670" s="8">
        <f>CHOOSE( CONTROL!$C$32, 18.3568, 18.3551) * CHOOSE( CONTROL!$C$15, $D$11, 100%, $F$11)</f>
        <v>18.3568</v>
      </c>
      <c r="H670" s="4">
        <f>CHOOSE( CONTROL!$C$32, 19.2921, 19.2904) * CHOOSE(CONTROL!$C$15, $D$11, 100%, $F$11)</f>
        <v>19.292100000000001</v>
      </c>
      <c r="I670" s="8">
        <f>CHOOSE( CONTROL!$C$32, 18.132, 18.1304) * CHOOSE(CONTROL!$C$15, $D$11, 100%, $F$11)</f>
        <v>18.132000000000001</v>
      </c>
      <c r="J670" s="4">
        <f>CHOOSE( CONTROL!$C$32, 18.0057, 18.0041) * CHOOSE(CONTROL!$C$15, $D$11, 100%, $F$11)</f>
        <v>18.005700000000001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1.2509999999999999</v>
      </c>
      <c r="Q670" s="9">
        <v>19.053000000000001</v>
      </c>
      <c r="R670" s="9"/>
      <c r="S670" s="11"/>
    </row>
    <row r="671" spans="1:19" ht="15.75">
      <c r="A671" s="13">
        <v>61575</v>
      </c>
      <c r="B671" s="8">
        <f>CHOOSE( CONTROL!$C$32, 19.3624, 19.3608) * CHOOSE(CONTROL!$C$15, $D$11, 100%, $F$11)</f>
        <v>19.362400000000001</v>
      </c>
      <c r="C671" s="8">
        <f>CHOOSE( CONTROL!$C$32, 19.3704, 19.3688) * CHOOSE(CONTROL!$C$15, $D$11, 100%, $F$11)</f>
        <v>19.3704</v>
      </c>
      <c r="D671" s="8">
        <f>CHOOSE( CONTROL!$C$32, 19.3676, 19.366) * CHOOSE( CONTROL!$C$15, $D$11, 100%, $F$11)</f>
        <v>19.367599999999999</v>
      </c>
      <c r="E671" s="12">
        <f>CHOOSE( CONTROL!$C$32, 19.3674, 19.3658) * CHOOSE( CONTROL!$C$15, $D$11, 100%, $F$11)</f>
        <v>19.3674</v>
      </c>
      <c r="F671" s="4">
        <f>CHOOSE( CONTROL!$C$32, 20.0694, 20.0677) * CHOOSE(CONTROL!$C$15, $D$11, 100%, $F$11)</f>
        <v>20.069400000000002</v>
      </c>
      <c r="G671" s="8">
        <f>CHOOSE( CONTROL!$C$32, 19.1459, 19.1442) * CHOOSE( CONTROL!$C$15, $D$11, 100%, $F$11)</f>
        <v>19.145900000000001</v>
      </c>
      <c r="H671" s="4">
        <f>CHOOSE( CONTROL!$C$32, 20.081, 20.0794) * CHOOSE(CONTROL!$C$15, $D$11, 100%, $F$11)</f>
        <v>20.081</v>
      </c>
      <c r="I671" s="8">
        <f>CHOOSE( CONTROL!$C$32, 18.9079, 18.9063) * CHOOSE(CONTROL!$C$15, $D$11, 100%, $F$11)</f>
        <v>18.907900000000001</v>
      </c>
      <c r="J671" s="4">
        <f>CHOOSE( CONTROL!$C$32, 18.7804, 18.7788) * CHOOSE(CONTROL!$C$15, $D$11, 100%, $F$11)</f>
        <v>18.7804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1.2927</v>
      </c>
      <c r="Q671" s="9">
        <v>19.688099999999999</v>
      </c>
      <c r="R671" s="9"/>
      <c r="S671" s="11"/>
    </row>
    <row r="672" spans="1:19" ht="15.75">
      <c r="A672" s="13">
        <v>61606</v>
      </c>
      <c r="B672" s="8">
        <f>CHOOSE( CONTROL!$C$32, 17.8688, 17.8671) * CHOOSE(CONTROL!$C$15, $D$11, 100%, $F$11)</f>
        <v>17.8688</v>
      </c>
      <c r="C672" s="8">
        <f>CHOOSE( CONTROL!$C$32, 17.8768, 17.8751) * CHOOSE(CONTROL!$C$15, $D$11, 100%, $F$11)</f>
        <v>17.876799999999999</v>
      </c>
      <c r="D672" s="8">
        <f>CHOOSE( CONTROL!$C$32, 17.8741, 17.8724) * CHOOSE( CONTROL!$C$15, $D$11, 100%, $F$11)</f>
        <v>17.874099999999999</v>
      </c>
      <c r="E672" s="12">
        <f>CHOOSE( CONTROL!$C$32, 17.8739, 17.8722) * CHOOSE( CONTROL!$C$15, $D$11, 100%, $F$11)</f>
        <v>17.873899999999999</v>
      </c>
      <c r="F672" s="4">
        <f>CHOOSE( CONTROL!$C$32, 18.5757, 18.5741) * CHOOSE(CONTROL!$C$15, $D$11, 100%, $F$11)</f>
        <v>18.575700000000001</v>
      </c>
      <c r="G672" s="8">
        <f>CHOOSE( CONTROL!$C$32, 17.6698, 17.6682) * CHOOSE( CONTROL!$C$15, $D$11, 100%, $F$11)</f>
        <v>17.669799999999999</v>
      </c>
      <c r="H672" s="4">
        <f>CHOOSE( CONTROL!$C$32, 18.6048, 18.6032) * CHOOSE(CONTROL!$C$15, $D$11, 100%, $F$11)</f>
        <v>18.604800000000001</v>
      </c>
      <c r="I672" s="8">
        <f>CHOOSE( CONTROL!$C$32, 17.4579, 17.4563) * CHOOSE(CONTROL!$C$15, $D$11, 100%, $F$11)</f>
        <v>17.457899999999999</v>
      </c>
      <c r="J672" s="4">
        <f>CHOOSE( CONTROL!$C$32, 17.3308, 17.3292) * CHOOSE(CONTROL!$C$15, $D$11, 100%, $F$11)</f>
        <v>17.3308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1.2927</v>
      </c>
      <c r="Q672" s="9">
        <v>19.688099999999999</v>
      </c>
      <c r="R672" s="9"/>
      <c r="S672" s="11"/>
    </row>
    <row r="673" spans="1:19" ht="15.75">
      <c r="A673" s="13">
        <v>61636</v>
      </c>
      <c r="B673" s="8">
        <f>CHOOSE( CONTROL!$C$32, 17.4948, 17.4931) * CHOOSE(CONTROL!$C$15, $D$11, 100%, $F$11)</f>
        <v>17.494800000000001</v>
      </c>
      <c r="C673" s="8">
        <f>CHOOSE( CONTROL!$C$32, 17.5027, 17.5011) * CHOOSE(CONTROL!$C$15, $D$11, 100%, $F$11)</f>
        <v>17.502700000000001</v>
      </c>
      <c r="D673" s="8">
        <f>CHOOSE( CONTROL!$C$32, 17.5, 17.4983) * CHOOSE( CONTROL!$C$15, $D$11, 100%, $F$11)</f>
        <v>17.5</v>
      </c>
      <c r="E673" s="12">
        <f>CHOOSE( CONTROL!$C$32, 17.4998, 17.4981) * CHOOSE( CONTROL!$C$15, $D$11, 100%, $F$11)</f>
        <v>17.4998</v>
      </c>
      <c r="F673" s="4">
        <f>CHOOSE( CONTROL!$C$32, 18.2017, 18.2) * CHOOSE(CONTROL!$C$15, $D$11, 100%, $F$11)</f>
        <v>18.201699999999999</v>
      </c>
      <c r="G673" s="8">
        <f>CHOOSE( CONTROL!$C$32, 17.3001, 17.2985) * CHOOSE( CONTROL!$C$15, $D$11, 100%, $F$11)</f>
        <v>17.3001</v>
      </c>
      <c r="H673" s="4">
        <f>CHOOSE( CONTROL!$C$32, 18.2352, 18.2336) * CHOOSE(CONTROL!$C$15, $D$11, 100%, $F$11)</f>
        <v>18.235199999999999</v>
      </c>
      <c r="I673" s="8">
        <f>CHOOSE( CONTROL!$C$32, 17.0946, 17.093) * CHOOSE(CONTROL!$C$15, $D$11, 100%, $F$11)</f>
        <v>17.0946</v>
      </c>
      <c r="J673" s="4">
        <f>CHOOSE( CONTROL!$C$32, 16.9678, 16.9662) * CHOOSE(CONTROL!$C$15, $D$11, 100%, $F$11)</f>
        <v>16.9678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1.2509999999999999</v>
      </c>
      <c r="Q673" s="9">
        <v>19.053000000000001</v>
      </c>
      <c r="R673" s="9"/>
      <c r="S673" s="11"/>
    </row>
    <row r="674" spans="1:19" ht="15.75">
      <c r="A674" s="13">
        <v>61667</v>
      </c>
      <c r="B674" s="8">
        <f>CHOOSE( CONTROL!$C$32, 18.2691, 18.268) * CHOOSE(CONTROL!$C$15, $D$11, 100%, $F$11)</f>
        <v>18.269100000000002</v>
      </c>
      <c r="C674" s="8">
        <f>CHOOSE( CONTROL!$C$32, 18.2744, 18.2733) * CHOOSE(CONTROL!$C$15, $D$11, 100%, $F$11)</f>
        <v>18.2744</v>
      </c>
      <c r="D674" s="8">
        <f>CHOOSE( CONTROL!$C$32, 18.2773, 18.2762) * CHOOSE( CONTROL!$C$15, $D$11, 100%, $F$11)</f>
        <v>18.2773</v>
      </c>
      <c r="E674" s="12">
        <f>CHOOSE( CONTROL!$C$32, 18.2758, 18.2747) * CHOOSE( CONTROL!$C$15, $D$11, 100%, $F$11)</f>
        <v>18.2758</v>
      </c>
      <c r="F674" s="4">
        <f>CHOOSE( CONTROL!$C$32, 18.9777, 18.9767) * CHOOSE(CONTROL!$C$15, $D$11, 100%, $F$11)</f>
        <v>18.977699999999999</v>
      </c>
      <c r="G674" s="8">
        <f>CHOOSE( CONTROL!$C$32, 18.0672, 18.0661) * CHOOSE( CONTROL!$C$15, $D$11, 100%, $F$11)</f>
        <v>18.0672</v>
      </c>
      <c r="H674" s="4">
        <f>CHOOSE( CONTROL!$C$32, 19.0021, 19.0011) * CHOOSE(CONTROL!$C$15, $D$11, 100%, $F$11)</f>
        <v>19.002099999999999</v>
      </c>
      <c r="I674" s="8">
        <f>CHOOSE( CONTROL!$C$32, 17.8489, 17.8479) * CHOOSE(CONTROL!$C$15, $D$11, 100%, $F$11)</f>
        <v>17.8489</v>
      </c>
      <c r="J674" s="4">
        <f>CHOOSE( CONTROL!$C$32, 17.721, 17.7199) * CHOOSE(CONTROL!$C$15, $D$11, 100%, $F$11)</f>
        <v>17.721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1.2927</v>
      </c>
      <c r="Q674" s="9">
        <v>19.688099999999999</v>
      </c>
      <c r="R674" s="9"/>
      <c r="S674" s="11"/>
    </row>
    <row r="675" spans="1:19" ht="15.75">
      <c r="A675" s="13">
        <v>61697</v>
      </c>
      <c r="B675" s="8">
        <f>CHOOSE( CONTROL!$C$32, 19.7021, 19.7011) * CHOOSE(CONTROL!$C$15, $D$11, 100%, $F$11)</f>
        <v>19.702100000000002</v>
      </c>
      <c r="C675" s="8">
        <f>CHOOSE( CONTROL!$C$32, 19.7072, 19.7061) * CHOOSE(CONTROL!$C$15, $D$11, 100%, $F$11)</f>
        <v>19.7072</v>
      </c>
      <c r="D675" s="8">
        <f>CHOOSE( CONTROL!$C$32, 19.6894, 19.6883) * CHOOSE( CONTROL!$C$15, $D$11, 100%, $F$11)</f>
        <v>19.689399999999999</v>
      </c>
      <c r="E675" s="12">
        <f>CHOOSE( CONTROL!$C$32, 19.6954, 19.6943) * CHOOSE( CONTROL!$C$15, $D$11, 100%, $F$11)</f>
        <v>19.695399999999999</v>
      </c>
      <c r="F675" s="4">
        <f>CHOOSE( CONTROL!$C$32, 20.3674, 20.3663) * CHOOSE(CONTROL!$C$15, $D$11, 100%, $F$11)</f>
        <v>20.3674</v>
      </c>
      <c r="G675" s="8">
        <f>CHOOSE( CONTROL!$C$32, 19.483, 19.4819) * CHOOSE( CONTROL!$C$15, $D$11, 100%, $F$11)</f>
        <v>19.483000000000001</v>
      </c>
      <c r="H675" s="4">
        <f>CHOOSE( CONTROL!$C$32, 20.3755, 20.3745) * CHOOSE(CONTROL!$C$15, $D$11, 100%, $F$11)</f>
        <v>20.375499999999999</v>
      </c>
      <c r="I675" s="8">
        <f>CHOOSE( CONTROL!$C$32, 19.3025, 19.3015) * CHOOSE(CONTROL!$C$15, $D$11, 100%, $F$11)</f>
        <v>19.302499999999998</v>
      </c>
      <c r="J675" s="4">
        <f>CHOOSE( CONTROL!$C$32, 19.1122, 19.1111) * CHOOSE(CONTROL!$C$15, $D$11, 100%, $F$11)</f>
        <v>19.112200000000001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61728</v>
      </c>
      <c r="B676" s="8">
        <f>CHOOSE( CONTROL!$C$32, 19.6663, 19.6652) * CHOOSE(CONTROL!$C$15, $D$11, 100%, $F$11)</f>
        <v>19.6663</v>
      </c>
      <c r="C676" s="8">
        <f>CHOOSE( CONTROL!$C$32, 19.6714, 19.6703) * CHOOSE(CONTROL!$C$15, $D$11, 100%, $F$11)</f>
        <v>19.671399999999998</v>
      </c>
      <c r="D676" s="8">
        <f>CHOOSE( CONTROL!$C$32, 19.655, 19.6539) * CHOOSE( CONTROL!$C$15, $D$11, 100%, $F$11)</f>
        <v>19.655000000000001</v>
      </c>
      <c r="E676" s="12">
        <f>CHOOSE( CONTROL!$C$32, 19.6605, 19.6594) * CHOOSE( CONTROL!$C$15, $D$11, 100%, $F$11)</f>
        <v>19.660499999999999</v>
      </c>
      <c r="F676" s="4">
        <f>CHOOSE( CONTROL!$C$32, 20.3316, 20.3305) * CHOOSE(CONTROL!$C$15, $D$11, 100%, $F$11)</f>
        <v>20.331600000000002</v>
      </c>
      <c r="G676" s="8">
        <f>CHOOSE( CONTROL!$C$32, 19.4486, 19.4475) * CHOOSE( CONTROL!$C$15, $D$11, 100%, $F$11)</f>
        <v>19.448599999999999</v>
      </c>
      <c r="H676" s="4">
        <f>CHOOSE( CONTROL!$C$32, 20.3401, 20.3391) * CHOOSE(CONTROL!$C$15, $D$11, 100%, $F$11)</f>
        <v>20.3401</v>
      </c>
      <c r="I676" s="8">
        <f>CHOOSE( CONTROL!$C$32, 19.2722, 19.2712) * CHOOSE(CONTROL!$C$15, $D$11, 100%, $F$11)</f>
        <v>19.272200000000002</v>
      </c>
      <c r="J676" s="4">
        <f>CHOOSE( CONTROL!$C$32, 19.0774, 19.0764) * CHOOSE(CONTROL!$C$15, $D$11, 100%, $F$11)</f>
        <v>19.077400000000001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61759</v>
      </c>
      <c r="B677" s="8">
        <f>CHOOSE( CONTROL!$C$32, 20.2461, 20.245) * CHOOSE(CONTROL!$C$15, $D$11, 100%, $F$11)</f>
        <v>20.246099999999998</v>
      </c>
      <c r="C677" s="8">
        <f>CHOOSE( CONTROL!$C$32, 20.2512, 20.2501) * CHOOSE(CONTROL!$C$15, $D$11, 100%, $F$11)</f>
        <v>20.251200000000001</v>
      </c>
      <c r="D677" s="8">
        <f>CHOOSE( CONTROL!$C$32, 20.2299, 20.2288) * CHOOSE( CONTROL!$C$15, $D$11, 100%, $F$11)</f>
        <v>20.229900000000001</v>
      </c>
      <c r="E677" s="12">
        <f>CHOOSE( CONTROL!$C$32, 20.2371, 20.236) * CHOOSE( CONTROL!$C$15, $D$11, 100%, $F$11)</f>
        <v>20.237100000000002</v>
      </c>
      <c r="F677" s="4">
        <f>CHOOSE( CONTROL!$C$32, 20.9114, 20.9103) * CHOOSE(CONTROL!$C$15, $D$11, 100%, $F$11)</f>
        <v>20.9114</v>
      </c>
      <c r="G677" s="8">
        <f>CHOOSE( CONTROL!$C$32, 20.0111, 20.0101) * CHOOSE( CONTROL!$C$15, $D$11, 100%, $F$11)</f>
        <v>20.011099999999999</v>
      </c>
      <c r="H677" s="4">
        <f>CHOOSE( CONTROL!$C$32, 20.9131, 20.9121) * CHOOSE(CONTROL!$C$15, $D$11, 100%, $F$11)</f>
        <v>20.9131</v>
      </c>
      <c r="I677" s="8">
        <f>CHOOSE( CONTROL!$C$32, 19.7973, 19.7962) * CHOOSE(CONTROL!$C$15, $D$11, 100%, $F$11)</f>
        <v>19.7973</v>
      </c>
      <c r="J677" s="4">
        <f>CHOOSE( CONTROL!$C$32, 19.6401, 19.6391) * CHOOSE(CONTROL!$C$15, $D$11, 100%, $F$11)</f>
        <v>19.6401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61787</v>
      </c>
      <c r="B678" s="8">
        <f>CHOOSE( CONTROL!$C$32, 18.9379, 18.9368) * CHOOSE(CONTROL!$C$15, $D$11, 100%, $F$11)</f>
        <v>18.937899999999999</v>
      </c>
      <c r="C678" s="8">
        <f>CHOOSE( CONTROL!$C$32, 18.943, 18.9419) * CHOOSE(CONTROL!$C$15, $D$11, 100%, $F$11)</f>
        <v>18.943000000000001</v>
      </c>
      <c r="D678" s="8">
        <f>CHOOSE( CONTROL!$C$32, 18.9215, 18.9205) * CHOOSE( CONTROL!$C$15, $D$11, 100%, $F$11)</f>
        <v>18.921500000000002</v>
      </c>
      <c r="E678" s="12">
        <f>CHOOSE( CONTROL!$C$32, 18.9288, 18.9278) * CHOOSE( CONTROL!$C$15, $D$11, 100%, $F$11)</f>
        <v>18.928799999999999</v>
      </c>
      <c r="F678" s="4">
        <f>CHOOSE( CONTROL!$C$32, 19.6032, 19.6021) * CHOOSE(CONTROL!$C$15, $D$11, 100%, $F$11)</f>
        <v>19.603200000000001</v>
      </c>
      <c r="G678" s="8">
        <f>CHOOSE( CONTROL!$C$32, 18.7181, 18.7171) * CHOOSE( CONTROL!$C$15, $D$11, 100%, $F$11)</f>
        <v>18.7181</v>
      </c>
      <c r="H678" s="4">
        <f>CHOOSE( CONTROL!$C$32, 19.6202, 19.6192) * CHOOSE(CONTROL!$C$15, $D$11, 100%, $F$11)</f>
        <v>19.620200000000001</v>
      </c>
      <c r="I678" s="8">
        <f>CHOOSE( CONTROL!$C$32, 18.5266, 18.5255) * CHOOSE(CONTROL!$C$15, $D$11, 100%, $F$11)</f>
        <v>18.526599999999998</v>
      </c>
      <c r="J678" s="4">
        <f>CHOOSE( CONTROL!$C$32, 18.3705, 18.3694) * CHOOSE(CONTROL!$C$15, $D$11, 100%, $F$11)</f>
        <v>18.3705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61818</v>
      </c>
      <c r="B679" s="8">
        <f>CHOOSE( CONTROL!$C$32, 18.535, 18.5339) * CHOOSE(CONTROL!$C$15, $D$11, 100%, $F$11)</f>
        <v>18.535</v>
      </c>
      <c r="C679" s="8">
        <f>CHOOSE( CONTROL!$C$32, 18.54, 18.539) * CHOOSE(CONTROL!$C$15, $D$11, 100%, $F$11)</f>
        <v>18.54</v>
      </c>
      <c r="D679" s="8">
        <f>CHOOSE( CONTROL!$C$32, 18.518, 18.5169) * CHOOSE( CONTROL!$C$15, $D$11, 100%, $F$11)</f>
        <v>18.518000000000001</v>
      </c>
      <c r="E679" s="12">
        <f>CHOOSE( CONTROL!$C$32, 18.5255, 18.5244) * CHOOSE( CONTROL!$C$15, $D$11, 100%, $F$11)</f>
        <v>18.525500000000001</v>
      </c>
      <c r="F679" s="4">
        <f>CHOOSE( CONTROL!$C$32, 19.2002, 19.1992) * CHOOSE(CONTROL!$C$15, $D$11, 100%, $F$11)</f>
        <v>19.200199999999999</v>
      </c>
      <c r="G679" s="8">
        <f>CHOOSE( CONTROL!$C$32, 18.3195, 18.3184) * CHOOSE( CONTROL!$C$15, $D$11, 100%, $F$11)</f>
        <v>18.319500000000001</v>
      </c>
      <c r="H679" s="4">
        <f>CHOOSE( CONTROL!$C$32, 19.222, 19.221) * CHOOSE(CONTROL!$C$15, $D$11, 100%, $F$11)</f>
        <v>19.222000000000001</v>
      </c>
      <c r="I679" s="8">
        <f>CHOOSE( CONTROL!$C$32, 18.1334, 18.1323) * CHOOSE(CONTROL!$C$15, $D$11, 100%, $F$11)</f>
        <v>18.133400000000002</v>
      </c>
      <c r="J679" s="4">
        <f>CHOOSE( CONTROL!$C$32, 17.9794, 17.9784) * CHOOSE(CONTROL!$C$15, $D$11, 100%, $F$11)</f>
        <v>17.979399999999998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61848</v>
      </c>
      <c r="B680" s="8">
        <f>CHOOSE( CONTROL!$C$32, 18.8173, 18.8162) * CHOOSE(CONTROL!$C$15, $D$11, 100%, $F$11)</f>
        <v>18.817299999999999</v>
      </c>
      <c r="C680" s="8">
        <f>CHOOSE( CONTROL!$C$32, 18.8218, 18.8207) * CHOOSE(CONTROL!$C$15, $D$11, 100%, $F$11)</f>
        <v>18.8218</v>
      </c>
      <c r="D680" s="8">
        <f>CHOOSE( CONTROL!$C$32, 18.8246, 18.8236) * CHOOSE( CONTROL!$C$15, $D$11, 100%, $F$11)</f>
        <v>18.8246</v>
      </c>
      <c r="E680" s="12">
        <f>CHOOSE( CONTROL!$C$32, 18.8232, 18.8221) * CHOOSE( CONTROL!$C$15, $D$11, 100%, $F$11)</f>
        <v>18.8232</v>
      </c>
      <c r="F680" s="4">
        <f>CHOOSE( CONTROL!$C$32, 19.5256, 19.5245) * CHOOSE(CONTROL!$C$15, $D$11, 100%, $F$11)</f>
        <v>19.525600000000001</v>
      </c>
      <c r="G680" s="8">
        <f>CHOOSE( CONTROL!$C$32, 18.6082, 18.6071) * CHOOSE( CONTROL!$C$15, $D$11, 100%, $F$11)</f>
        <v>18.6082</v>
      </c>
      <c r="H680" s="4">
        <f>CHOOSE( CONTROL!$C$32, 19.5436, 19.5425) * CHOOSE(CONTROL!$C$15, $D$11, 100%, $F$11)</f>
        <v>19.543600000000001</v>
      </c>
      <c r="I680" s="8">
        <f>CHOOSE( CONTROL!$C$32, 18.379, 18.378) * CHOOSE(CONTROL!$C$15, $D$11, 100%, $F$11)</f>
        <v>18.379000000000001</v>
      </c>
      <c r="J680" s="4">
        <f>CHOOSE( CONTROL!$C$32, 18.2527, 18.2516) * CHOOSE(CONTROL!$C$15, $D$11, 100%, $F$11)</f>
        <v>18.252700000000001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1.2509999999999999</v>
      </c>
      <c r="Q680" s="9">
        <v>19.053000000000001</v>
      </c>
      <c r="R680" s="9"/>
      <c r="S680" s="11"/>
    </row>
    <row r="681" spans="1:19" ht="15.75">
      <c r="A681" s="13">
        <v>61879</v>
      </c>
      <c r="B681" s="8">
        <f>CHOOSE( CONTROL!$C$32, 19.3203, 19.3187) * CHOOSE(CONTROL!$C$15, $D$11, 100%, $F$11)</f>
        <v>19.3203</v>
      </c>
      <c r="C681" s="8">
        <f>CHOOSE( CONTROL!$C$32, 19.3283, 19.3267) * CHOOSE(CONTROL!$C$15, $D$11, 100%, $F$11)</f>
        <v>19.328299999999999</v>
      </c>
      <c r="D681" s="8">
        <f>CHOOSE( CONTROL!$C$32, 19.325, 19.3234) * CHOOSE( CONTROL!$C$15, $D$11, 100%, $F$11)</f>
        <v>19.324999999999999</v>
      </c>
      <c r="E681" s="12">
        <f>CHOOSE( CONTROL!$C$32, 19.325, 19.3234) * CHOOSE( CONTROL!$C$15, $D$11, 100%, $F$11)</f>
        <v>19.324999999999999</v>
      </c>
      <c r="F681" s="4">
        <f>CHOOSE( CONTROL!$C$32, 20.0273, 20.0256) * CHOOSE(CONTROL!$C$15, $D$11, 100%, $F$11)</f>
        <v>20.0273</v>
      </c>
      <c r="G681" s="8">
        <f>CHOOSE( CONTROL!$C$32, 19.1039, 19.1022) * CHOOSE( CONTROL!$C$15, $D$11, 100%, $F$11)</f>
        <v>19.103899999999999</v>
      </c>
      <c r="H681" s="4">
        <f>CHOOSE( CONTROL!$C$32, 20.0394, 20.0377) * CHOOSE(CONTROL!$C$15, $D$11, 100%, $F$11)</f>
        <v>20.039400000000001</v>
      </c>
      <c r="I681" s="8">
        <f>CHOOSE( CONTROL!$C$32, 18.8654, 18.8638) * CHOOSE(CONTROL!$C$15, $D$11, 100%, $F$11)</f>
        <v>18.865400000000001</v>
      </c>
      <c r="J681" s="4">
        <f>CHOOSE( CONTROL!$C$32, 18.7396, 18.738) * CHOOSE(CONTROL!$C$15, $D$11, 100%, $F$11)</f>
        <v>18.739599999999999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1.2927</v>
      </c>
      <c r="Q681" s="9">
        <v>19.688099999999999</v>
      </c>
      <c r="R681" s="9"/>
      <c r="S681" s="11"/>
    </row>
    <row r="682" spans="1:19" ht="15.75">
      <c r="A682" s="13">
        <v>61909</v>
      </c>
      <c r="B682" s="8">
        <f>CHOOSE( CONTROL!$C$32, 19.0099, 19.0083) * CHOOSE(CONTROL!$C$15, $D$11, 100%, $F$11)</f>
        <v>19.009899999999998</v>
      </c>
      <c r="C682" s="8">
        <f>CHOOSE( CONTROL!$C$32, 19.0179, 19.0162) * CHOOSE(CONTROL!$C$15, $D$11, 100%, $F$11)</f>
        <v>19.017900000000001</v>
      </c>
      <c r="D682" s="8">
        <f>CHOOSE( CONTROL!$C$32, 19.0149, 19.0132) * CHOOSE( CONTROL!$C$15, $D$11, 100%, $F$11)</f>
        <v>19.014900000000001</v>
      </c>
      <c r="E682" s="12">
        <f>CHOOSE( CONTROL!$C$32, 19.0148, 19.0131) * CHOOSE( CONTROL!$C$15, $D$11, 100%, $F$11)</f>
        <v>19.014800000000001</v>
      </c>
      <c r="F682" s="4">
        <f>CHOOSE( CONTROL!$C$32, 19.7169, 19.7152) * CHOOSE(CONTROL!$C$15, $D$11, 100%, $F$11)</f>
        <v>19.716899999999999</v>
      </c>
      <c r="G682" s="8">
        <f>CHOOSE( CONTROL!$C$32, 18.7973, 18.7956) * CHOOSE( CONTROL!$C$15, $D$11, 100%, $F$11)</f>
        <v>18.7973</v>
      </c>
      <c r="H682" s="4">
        <f>CHOOSE( CONTROL!$C$32, 19.7326, 19.731) * CHOOSE(CONTROL!$C$15, $D$11, 100%, $F$11)</f>
        <v>19.732600000000001</v>
      </c>
      <c r="I682" s="8">
        <f>CHOOSE( CONTROL!$C$32, 18.5648, 18.5632) * CHOOSE(CONTROL!$C$15, $D$11, 100%, $F$11)</f>
        <v>18.564800000000002</v>
      </c>
      <c r="J682" s="4">
        <f>CHOOSE( CONTROL!$C$32, 18.4383, 18.4367) * CHOOSE(CONTROL!$C$15, $D$11, 100%, $F$11)</f>
        <v>18.438300000000002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1.2509999999999999</v>
      </c>
      <c r="Q682" s="9">
        <v>19.053000000000001</v>
      </c>
      <c r="R682" s="9"/>
      <c r="S682" s="11"/>
    </row>
    <row r="683" spans="1:19" ht="15.75">
      <c r="A683" s="13">
        <v>61940</v>
      </c>
      <c r="B683" s="8">
        <f>CHOOSE( CONTROL!$C$32, 19.8274, 19.8257) * CHOOSE(CONTROL!$C$15, $D$11, 100%, $F$11)</f>
        <v>19.827400000000001</v>
      </c>
      <c r="C683" s="8">
        <f>CHOOSE( CONTROL!$C$32, 19.8353, 19.8337) * CHOOSE(CONTROL!$C$15, $D$11, 100%, $F$11)</f>
        <v>19.8353</v>
      </c>
      <c r="D683" s="8">
        <f>CHOOSE( CONTROL!$C$32, 19.8325, 19.8309) * CHOOSE( CONTROL!$C$15, $D$11, 100%, $F$11)</f>
        <v>19.8325</v>
      </c>
      <c r="E683" s="12">
        <f>CHOOSE( CONTROL!$C$32, 19.8323, 19.8307) * CHOOSE( CONTROL!$C$15, $D$11, 100%, $F$11)</f>
        <v>19.8323</v>
      </c>
      <c r="F683" s="4">
        <f>CHOOSE( CONTROL!$C$32, 20.5343, 20.5326) * CHOOSE(CONTROL!$C$15, $D$11, 100%, $F$11)</f>
        <v>20.534300000000002</v>
      </c>
      <c r="G683" s="8">
        <f>CHOOSE( CONTROL!$C$32, 19.6053, 19.6037) * CHOOSE( CONTROL!$C$15, $D$11, 100%, $F$11)</f>
        <v>19.6053</v>
      </c>
      <c r="H683" s="4">
        <f>CHOOSE( CONTROL!$C$32, 20.5405, 20.5388) * CHOOSE(CONTROL!$C$15, $D$11, 100%, $F$11)</f>
        <v>20.540500000000002</v>
      </c>
      <c r="I683" s="8">
        <f>CHOOSE( CONTROL!$C$32, 19.3593, 19.3577) * CHOOSE(CONTROL!$C$15, $D$11, 100%, $F$11)</f>
        <v>19.359300000000001</v>
      </c>
      <c r="J683" s="4">
        <f>CHOOSE( CONTROL!$C$32, 19.2316, 19.23) * CHOOSE(CONTROL!$C$15, $D$11, 100%, $F$11)</f>
        <v>19.2316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1.2927</v>
      </c>
      <c r="Q683" s="9">
        <v>19.688099999999999</v>
      </c>
      <c r="R683" s="9"/>
      <c r="S683" s="11"/>
    </row>
    <row r="684" spans="1:19" ht="15.75">
      <c r="A684" s="13">
        <v>61971</v>
      </c>
      <c r="B684" s="8">
        <f>CHOOSE( CONTROL!$C$32, 18.2978, 18.2962) * CHOOSE(CONTROL!$C$15, $D$11, 100%, $F$11)</f>
        <v>18.297799999999999</v>
      </c>
      <c r="C684" s="8">
        <f>CHOOSE( CONTROL!$C$32, 18.3058, 18.3041) * CHOOSE(CONTROL!$C$15, $D$11, 100%, $F$11)</f>
        <v>18.305800000000001</v>
      </c>
      <c r="D684" s="8">
        <f>CHOOSE( CONTROL!$C$32, 18.3031, 18.3014) * CHOOSE( CONTROL!$C$15, $D$11, 100%, $F$11)</f>
        <v>18.303100000000001</v>
      </c>
      <c r="E684" s="12">
        <f>CHOOSE( CONTROL!$C$32, 18.3029, 18.3012) * CHOOSE( CONTROL!$C$15, $D$11, 100%, $F$11)</f>
        <v>18.302900000000001</v>
      </c>
      <c r="F684" s="4">
        <f>CHOOSE( CONTROL!$C$32, 19.0048, 19.0031) * CHOOSE(CONTROL!$C$15, $D$11, 100%, $F$11)</f>
        <v>19.004799999999999</v>
      </c>
      <c r="G684" s="8">
        <f>CHOOSE( CONTROL!$C$32, 18.0938, 18.0922) * CHOOSE( CONTROL!$C$15, $D$11, 100%, $F$11)</f>
        <v>18.093800000000002</v>
      </c>
      <c r="H684" s="4">
        <f>CHOOSE( CONTROL!$C$32, 19.0288, 19.0272) * CHOOSE(CONTROL!$C$15, $D$11, 100%, $F$11)</f>
        <v>19.0288</v>
      </c>
      <c r="I684" s="8">
        <f>CHOOSE( CONTROL!$C$32, 17.8745, 17.8729) * CHOOSE(CONTROL!$C$15, $D$11, 100%, $F$11)</f>
        <v>17.874500000000001</v>
      </c>
      <c r="J684" s="4">
        <f>CHOOSE( CONTROL!$C$32, 17.7472, 17.7456) * CHOOSE(CONTROL!$C$15, $D$11, 100%, $F$11)</f>
        <v>17.747199999999999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1.2927</v>
      </c>
      <c r="Q684" s="9">
        <v>19.688099999999999</v>
      </c>
      <c r="R684" s="9"/>
      <c r="S684" s="11"/>
    </row>
    <row r="685" spans="1:19" ht="15.75">
      <c r="A685" s="13">
        <v>62001</v>
      </c>
      <c r="B685" s="8">
        <f>CHOOSE( CONTROL!$C$32, 17.9148, 17.9132) * CHOOSE(CONTROL!$C$15, $D$11, 100%, $F$11)</f>
        <v>17.9148</v>
      </c>
      <c r="C685" s="8">
        <f>CHOOSE( CONTROL!$C$32, 17.9228, 17.9211) * CHOOSE(CONTROL!$C$15, $D$11, 100%, $F$11)</f>
        <v>17.922799999999999</v>
      </c>
      <c r="D685" s="8">
        <f>CHOOSE( CONTROL!$C$32, 17.92, 17.9184) * CHOOSE( CONTROL!$C$15, $D$11, 100%, $F$11)</f>
        <v>17.920000000000002</v>
      </c>
      <c r="E685" s="12">
        <f>CHOOSE( CONTROL!$C$32, 17.9198, 17.9182) * CHOOSE( CONTROL!$C$15, $D$11, 100%, $F$11)</f>
        <v>17.919799999999999</v>
      </c>
      <c r="F685" s="4">
        <f>CHOOSE( CONTROL!$C$32, 18.6218, 18.6201) * CHOOSE(CONTROL!$C$15, $D$11, 100%, $F$11)</f>
        <v>18.6218</v>
      </c>
      <c r="G685" s="8">
        <f>CHOOSE( CONTROL!$C$32, 17.7152, 17.7136) * CHOOSE( CONTROL!$C$15, $D$11, 100%, $F$11)</f>
        <v>17.715199999999999</v>
      </c>
      <c r="H685" s="4">
        <f>CHOOSE( CONTROL!$C$32, 18.6503, 18.6487) * CHOOSE(CONTROL!$C$15, $D$11, 100%, $F$11)</f>
        <v>18.650300000000001</v>
      </c>
      <c r="I685" s="8">
        <f>CHOOSE( CONTROL!$C$32, 17.5025, 17.5008) * CHOOSE(CONTROL!$C$15, $D$11, 100%, $F$11)</f>
        <v>17.502500000000001</v>
      </c>
      <c r="J685" s="4">
        <f>CHOOSE( CONTROL!$C$32, 17.3755, 17.3739) * CHOOSE(CONTROL!$C$15, $D$11, 100%, $F$11)</f>
        <v>17.375499999999999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1.2509999999999999</v>
      </c>
      <c r="Q685" s="9">
        <v>19.053000000000001</v>
      </c>
      <c r="R685" s="9"/>
      <c r="S685" s="11"/>
    </row>
    <row r="686" spans="1:19" ht="15.75">
      <c r="A686" s="13">
        <v>62032</v>
      </c>
      <c r="B686" s="8">
        <f>CHOOSE( CONTROL!$C$32, 18.7078, 18.7067) * CHOOSE(CONTROL!$C$15, $D$11, 100%, $F$11)</f>
        <v>18.707799999999999</v>
      </c>
      <c r="C686" s="8">
        <f>CHOOSE( CONTROL!$C$32, 18.7131, 18.712) * CHOOSE(CONTROL!$C$15, $D$11, 100%, $F$11)</f>
        <v>18.713100000000001</v>
      </c>
      <c r="D686" s="8">
        <f>CHOOSE( CONTROL!$C$32, 18.716, 18.7149) * CHOOSE( CONTROL!$C$15, $D$11, 100%, $F$11)</f>
        <v>18.716000000000001</v>
      </c>
      <c r="E686" s="12">
        <f>CHOOSE( CONTROL!$C$32, 18.7145, 18.7134) * CHOOSE( CONTROL!$C$15, $D$11, 100%, $F$11)</f>
        <v>18.714500000000001</v>
      </c>
      <c r="F686" s="4">
        <f>CHOOSE( CONTROL!$C$32, 19.4164, 19.4154) * CHOOSE(CONTROL!$C$15, $D$11, 100%, $F$11)</f>
        <v>19.416399999999999</v>
      </c>
      <c r="G686" s="8">
        <f>CHOOSE( CONTROL!$C$32, 18.5008, 18.4997) * CHOOSE( CONTROL!$C$15, $D$11, 100%, $F$11)</f>
        <v>18.500800000000002</v>
      </c>
      <c r="H686" s="4">
        <f>CHOOSE( CONTROL!$C$32, 19.4357, 19.4346) * CHOOSE(CONTROL!$C$15, $D$11, 100%, $F$11)</f>
        <v>19.435700000000001</v>
      </c>
      <c r="I686" s="8">
        <f>CHOOSE( CONTROL!$C$32, 18.2749, 18.2738) * CHOOSE(CONTROL!$C$15, $D$11, 100%, $F$11)</f>
        <v>18.274899999999999</v>
      </c>
      <c r="J686" s="4">
        <f>CHOOSE( CONTROL!$C$32, 18.1468, 18.1457) * CHOOSE(CONTROL!$C$15, $D$11, 100%, $F$11)</f>
        <v>18.146799999999999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1.2927</v>
      </c>
      <c r="Q686" s="9">
        <v>19.688099999999999</v>
      </c>
      <c r="R686" s="9"/>
      <c r="S686" s="11"/>
    </row>
    <row r="687" spans="1:19" ht="15.75">
      <c r="A687" s="13">
        <v>62062</v>
      </c>
      <c r="B687" s="8">
        <f>CHOOSE( CONTROL!$C$32, 20.1753, 20.1742) * CHOOSE(CONTROL!$C$15, $D$11, 100%, $F$11)</f>
        <v>20.1753</v>
      </c>
      <c r="C687" s="8">
        <f>CHOOSE( CONTROL!$C$32, 20.1804, 20.1793) * CHOOSE(CONTROL!$C$15, $D$11, 100%, $F$11)</f>
        <v>20.180399999999999</v>
      </c>
      <c r="D687" s="8">
        <f>CHOOSE( CONTROL!$C$32, 20.1625, 20.1615) * CHOOSE( CONTROL!$C$15, $D$11, 100%, $F$11)</f>
        <v>20.162500000000001</v>
      </c>
      <c r="E687" s="12">
        <f>CHOOSE( CONTROL!$C$32, 20.1685, 20.1675) * CHOOSE( CONTROL!$C$15, $D$11, 100%, $F$11)</f>
        <v>20.168500000000002</v>
      </c>
      <c r="F687" s="4">
        <f>CHOOSE( CONTROL!$C$32, 20.8406, 20.8395) * CHOOSE(CONTROL!$C$15, $D$11, 100%, $F$11)</f>
        <v>20.840599999999998</v>
      </c>
      <c r="G687" s="8">
        <f>CHOOSE( CONTROL!$C$32, 19.9506, 19.9495) * CHOOSE( CONTROL!$C$15, $D$11, 100%, $F$11)</f>
        <v>19.950600000000001</v>
      </c>
      <c r="H687" s="4">
        <f>CHOOSE( CONTROL!$C$32, 20.8431, 20.8421) * CHOOSE(CONTROL!$C$15, $D$11, 100%, $F$11)</f>
        <v>20.8431</v>
      </c>
      <c r="I687" s="8">
        <f>CHOOSE( CONTROL!$C$32, 19.762, 19.7609) * CHOOSE(CONTROL!$C$15, $D$11, 100%, $F$11)</f>
        <v>19.762</v>
      </c>
      <c r="J687" s="4">
        <f>CHOOSE( CONTROL!$C$32, 19.5714, 19.5703) * CHOOSE(CONTROL!$C$15, $D$11, 100%, $F$11)</f>
        <v>19.571400000000001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62093</v>
      </c>
      <c r="B688" s="8">
        <f>CHOOSE( CONTROL!$C$32, 20.1386, 20.1375) * CHOOSE(CONTROL!$C$15, $D$11, 100%, $F$11)</f>
        <v>20.1386</v>
      </c>
      <c r="C688" s="8">
        <f>CHOOSE( CONTROL!$C$32, 20.1437, 20.1426) * CHOOSE(CONTROL!$C$15, $D$11, 100%, $F$11)</f>
        <v>20.143699999999999</v>
      </c>
      <c r="D688" s="8">
        <f>CHOOSE( CONTROL!$C$32, 20.1273, 20.1262) * CHOOSE( CONTROL!$C$15, $D$11, 100%, $F$11)</f>
        <v>20.127300000000002</v>
      </c>
      <c r="E688" s="12">
        <f>CHOOSE( CONTROL!$C$32, 20.1328, 20.1317) * CHOOSE( CONTROL!$C$15, $D$11, 100%, $F$11)</f>
        <v>20.1328</v>
      </c>
      <c r="F688" s="4">
        <f>CHOOSE( CONTROL!$C$32, 20.8039, 20.8028) * CHOOSE(CONTROL!$C$15, $D$11, 100%, $F$11)</f>
        <v>20.803899999999999</v>
      </c>
      <c r="G688" s="8">
        <f>CHOOSE( CONTROL!$C$32, 19.9154, 19.9143) * CHOOSE( CONTROL!$C$15, $D$11, 100%, $F$11)</f>
        <v>19.915400000000002</v>
      </c>
      <c r="H688" s="4">
        <f>CHOOSE( CONTROL!$C$32, 20.8069, 20.8058) * CHOOSE(CONTROL!$C$15, $D$11, 100%, $F$11)</f>
        <v>20.806899999999999</v>
      </c>
      <c r="I688" s="8">
        <f>CHOOSE( CONTROL!$C$32, 19.7308, 19.7298) * CHOOSE(CONTROL!$C$15, $D$11, 100%, $F$11)</f>
        <v>19.730799999999999</v>
      </c>
      <c r="J688" s="4">
        <f>CHOOSE( CONTROL!$C$32, 19.5358, 19.5347) * CHOOSE(CONTROL!$C$15, $D$11, 100%, $F$11)</f>
        <v>19.535799999999998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62124</v>
      </c>
      <c r="B689" s="8">
        <f>CHOOSE( CONTROL!$C$32, 20.7323, 20.7313) * CHOOSE(CONTROL!$C$15, $D$11, 100%, $F$11)</f>
        <v>20.732299999999999</v>
      </c>
      <c r="C689" s="8">
        <f>CHOOSE( CONTROL!$C$32, 20.7374, 20.7363) * CHOOSE(CONTROL!$C$15, $D$11, 100%, $F$11)</f>
        <v>20.737400000000001</v>
      </c>
      <c r="D689" s="8">
        <f>CHOOSE( CONTROL!$C$32, 20.7161, 20.715) * CHOOSE( CONTROL!$C$15, $D$11, 100%, $F$11)</f>
        <v>20.716100000000001</v>
      </c>
      <c r="E689" s="12">
        <f>CHOOSE( CONTROL!$C$32, 20.7233, 20.7223) * CHOOSE( CONTROL!$C$15, $D$11, 100%, $F$11)</f>
        <v>20.723299999999998</v>
      </c>
      <c r="F689" s="4">
        <f>CHOOSE( CONTROL!$C$32, 21.3976, 21.3965) * CHOOSE(CONTROL!$C$15, $D$11, 100%, $F$11)</f>
        <v>21.397600000000001</v>
      </c>
      <c r="G689" s="8">
        <f>CHOOSE( CONTROL!$C$32, 20.4917, 20.4906) * CHOOSE( CONTROL!$C$15, $D$11, 100%, $F$11)</f>
        <v>20.491700000000002</v>
      </c>
      <c r="H689" s="4">
        <f>CHOOSE( CONTROL!$C$32, 21.3937, 21.3926) * CHOOSE(CONTROL!$C$15, $D$11, 100%, $F$11)</f>
        <v>21.393699999999999</v>
      </c>
      <c r="I689" s="8">
        <f>CHOOSE( CONTROL!$C$32, 20.2694, 20.2683) * CHOOSE(CONTROL!$C$15, $D$11, 100%, $F$11)</f>
        <v>20.269400000000001</v>
      </c>
      <c r="J689" s="4">
        <f>CHOOSE( CONTROL!$C$32, 20.112, 20.1109) * CHOOSE(CONTROL!$C$15, $D$11, 100%, $F$11)</f>
        <v>20.111999999999998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62152</v>
      </c>
      <c r="B690" s="8">
        <f>CHOOSE( CONTROL!$C$32, 19.3927, 19.3916) * CHOOSE(CONTROL!$C$15, $D$11, 100%, $F$11)</f>
        <v>19.392700000000001</v>
      </c>
      <c r="C690" s="8">
        <f>CHOOSE( CONTROL!$C$32, 19.3978, 19.3967) * CHOOSE(CONTROL!$C$15, $D$11, 100%, $F$11)</f>
        <v>19.3978</v>
      </c>
      <c r="D690" s="8">
        <f>CHOOSE( CONTROL!$C$32, 19.3763, 19.3753) * CHOOSE( CONTROL!$C$15, $D$11, 100%, $F$11)</f>
        <v>19.376300000000001</v>
      </c>
      <c r="E690" s="12">
        <f>CHOOSE( CONTROL!$C$32, 19.3836, 19.3826) * CHOOSE( CONTROL!$C$15, $D$11, 100%, $F$11)</f>
        <v>19.383600000000001</v>
      </c>
      <c r="F690" s="4">
        <f>CHOOSE( CONTROL!$C$32, 20.058, 20.0569) * CHOOSE(CONTROL!$C$15, $D$11, 100%, $F$11)</f>
        <v>20.058</v>
      </c>
      <c r="G690" s="8">
        <f>CHOOSE( CONTROL!$C$32, 19.1676, 19.1665) * CHOOSE( CONTROL!$C$15, $D$11, 100%, $F$11)</f>
        <v>19.1676</v>
      </c>
      <c r="H690" s="4">
        <f>CHOOSE( CONTROL!$C$32, 20.0697, 20.0686) * CHOOSE(CONTROL!$C$15, $D$11, 100%, $F$11)</f>
        <v>20.069700000000001</v>
      </c>
      <c r="I690" s="8">
        <f>CHOOSE( CONTROL!$C$32, 18.9682, 18.9671) * CHOOSE(CONTROL!$C$15, $D$11, 100%, $F$11)</f>
        <v>18.9682</v>
      </c>
      <c r="J690" s="4">
        <f>CHOOSE( CONTROL!$C$32, 18.8118, 18.8108) * CHOOSE(CONTROL!$C$15, $D$11, 100%, $F$11)</f>
        <v>18.811800000000002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62183</v>
      </c>
      <c r="B691" s="8">
        <f>CHOOSE( CONTROL!$C$32, 18.9801, 18.979) * CHOOSE(CONTROL!$C$15, $D$11, 100%, $F$11)</f>
        <v>18.9801</v>
      </c>
      <c r="C691" s="8">
        <f>CHOOSE( CONTROL!$C$32, 18.9851, 18.9841) * CHOOSE(CONTROL!$C$15, $D$11, 100%, $F$11)</f>
        <v>18.985099999999999</v>
      </c>
      <c r="D691" s="8">
        <f>CHOOSE( CONTROL!$C$32, 18.9631, 18.962) * CHOOSE( CONTROL!$C$15, $D$11, 100%, $F$11)</f>
        <v>18.963100000000001</v>
      </c>
      <c r="E691" s="12">
        <f>CHOOSE( CONTROL!$C$32, 18.9706, 18.9695) * CHOOSE( CONTROL!$C$15, $D$11, 100%, $F$11)</f>
        <v>18.970600000000001</v>
      </c>
      <c r="F691" s="4">
        <f>CHOOSE( CONTROL!$C$32, 19.6453, 19.6443) * CHOOSE(CONTROL!$C$15, $D$11, 100%, $F$11)</f>
        <v>19.645299999999999</v>
      </c>
      <c r="G691" s="8">
        <f>CHOOSE( CONTROL!$C$32, 18.7594, 18.7583) * CHOOSE( CONTROL!$C$15, $D$11, 100%, $F$11)</f>
        <v>18.759399999999999</v>
      </c>
      <c r="H691" s="4">
        <f>CHOOSE( CONTROL!$C$32, 19.6619, 19.6609) * CHOOSE(CONTROL!$C$15, $D$11, 100%, $F$11)</f>
        <v>19.661899999999999</v>
      </c>
      <c r="I691" s="8">
        <f>CHOOSE( CONTROL!$C$32, 18.5656, 18.5645) * CHOOSE(CONTROL!$C$15, $D$11, 100%, $F$11)</f>
        <v>18.5656</v>
      </c>
      <c r="J691" s="4">
        <f>CHOOSE( CONTROL!$C$32, 18.4114, 18.4104) * CHOOSE(CONTROL!$C$15, $D$11, 100%, $F$11)</f>
        <v>18.4114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62213</v>
      </c>
      <c r="B692" s="8">
        <f>CHOOSE( CONTROL!$C$32, 19.2692, 19.2681) * CHOOSE(CONTROL!$C$15, $D$11, 100%, $F$11)</f>
        <v>19.269200000000001</v>
      </c>
      <c r="C692" s="8">
        <f>CHOOSE( CONTROL!$C$32, 19.2737, 19.2726) * CHOOSE(CONTROL!$C$15, $D$11, 100%, $F$11)</f>
        <v>19.273700000000002</v>
      </c>
      <c r="D692" s="8">
        <f>CHOOSE( CONTROL!$C$32, 19.2765, 19.2754) * CHOOSE( CONTROL!$C$15, $D$11, 100%, $F$11)</f>
        <v>19.276499999999999</v>
      </c>
      <c r="E692" s="12">
        <f>CHOOSE( CONTROL!$C$32, 19.2751, 19.274) * CHOOSE( CONTROL!$C$15, $D$11, 100%, $F$11)</f>
        <v>19.275099999999998</v>
      </c>
      <c r="F692" s="4">
        <f>CHOOSE( CONTROL!$C$32, 19.9775, 19.9764) * CHOOSE(CONTROL!$C$15, $D$11, 100%, $F$11)</f>
        <v>19.977499999999999</v>
      </c>
      <c r="G692" s="8">
        <f>CHOOSE( CONTROL!$C$32, 19.0548, 19.0537) * CHOOSE( CONTROL!$C$15, $D$11, 100%, $F$11)</f>
        <v>19.0548</v>
      </c>
      <c r="H692" s="4">
        <f>CHOOSE( CONTROL!$C$32, 19.9902, 19.9891) * CHOOSE(CONTROL!$C$15, $D$11, 100%, $F$11)</f>
        <v>19.990200000000002</v>
      </c>
      <c r="I692" s="8">
        <f>CHOOSE( CONTROL!$C$32, 18.8178, 18.8167) * CHOOSE(CONTROL!$C$15, $D$11, 100%, $F$11)</f>
        <v>18.817799999999998</v>
      </c>
      <c r="J692" s="4">
        <f>CHOOSE( CONTROL!$C$32, 18.6912, 18.6902) * CHOOSE(CONTROL!$C$15, $D$11, 100%, $F$11)</f>
        <v>18.691199999999998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1.2509999999999999</v>
      </c>
      <c r="Q692" s="9">
        <v>19.053000000000001</v>
      </c>
      <c r="R692" s="9"/>
      <c r="S692" s="11"/>
    </row>
    <row r="693" spans="1:19" ht="15.75">
      <c r="A693" s="13">
        <v>62244</v>
      </c>
      <c r="B693" s="8">
        <f>CHOOSE( CONTROL!$C$32, 19.7842, 19.7826) * CHOOSE(CONTROL!$C$15, $D$11, 100%, $F$11)</f>
        <v>19.784199999999998</v>
      </c>
      <c r="C693" s="8">
        <f>CHOOSE( CONTROL!$C$32, 19.7922, 19.7906) * CHOOSE(CONTROL!$C$15, $D$11, 100%, $F$11)</f>
        <v>19.792200000000001</v>
      </c>
      <c r="D693" s="8">
        <f>CHOOSE( CONTROL!$C$32, 19.789, 19.7873) * CHOOSE( CONTROL!$C$15, $D$11, 100%, $F$11)</f>
        <v>19.789000000000001</v>
      </c>
      <c r="E693" s="12">
        <f>CHOOSE( CONTROL!$C$32, 19.7889, 19.7873) * CHOOSE( CONTROL!$C$15, $D$11, 100%, $F$11)</f>
        <v>19.788900000000002</v>
      </c>
      <c r="F693" s="4">
        <f>CHOOSE( CONTROL!$C$32, 20.4912, 20.4895) * CHOOSE(CONTROL!$C$15, $D$11, 100%, $F$11)</f>
        <v>20.491199999999999</v>
      </c>
      <c r="G693" s="8">
        <f>CHOOSE( CONTROL!$C$32, 19.5624, 19.5607) * CHOOSE( CONTROL!$C$15, $D$11, 100%, $F$11)</f>
        <v>19.5624</v>
      </c>
      <c r="H693" s="4">
        <f>CHOOSE( CONTROL!$C$32, 20.4979, 20.4962) * CHOOSE(CONTROL!$C$15, $D$11, 100%, $F$11)</f>
        <v>20.497900000000001</v>
      </c>
      <c r="I693" s="8">
        <f>CHOOSE( CONTROL!$C$32, 19.3159, 19.3143) * CHOOSE(CONTROL!$C$15, $D$11, 100%, $F$11)</f>
        <v>19.315899999999999</v>
      </c>
      <c r="J693" s="4">
        <f>CHOOSE( CONTROL!$C$32, 19.1898, 19.1882) * CHOOSE(CONTROL!$C$15, $D$11, 100%, $F$11)</f>
        <v>19.189800000000002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1.2927</v>
      </c>
      <c r="Q693" s="9">
        <v>19.688099999999999</v>
      </c>
      <c r="R693" s="9"/>
      <c r="S693" s="11"/>
    </row>
    <row r="694" spans="1:19" ht="15.75">
      <c r="A694" s="13">
        <v>62274</v>
      </c>
      <c r="B694" s="8">
        <f>CHOOSE( CONTROL!$C$32, 19.4664, 19.4647) * CHOOSE(CONTROL!$C$15, $D$11, 100%, $F$11)</f>
        <v>19.4664</v>
      </c>
      <c r="C694" s="8">
        <f>CHOOSE( CONTROL!$C$32, 19.4743, 19.4727) * CHOOSE(CONTROL!$C$15, $D$11, 100%, $F$11)</f>
        <v>19.474299999999999</v>
      </c>
      <c r="D694" s="8">
        <f>CHOOSE( CONTROL!$C$32, 19.4713, 19.4696) * CHOOSE( CONTROL!$C$15, $D$11, 100%, $F$11)</f>
        <v>19.471299999999999</v>
      </c>
      <c r="E694" s="12">
        <f>CHOOSE( CONTROL!$C$32, 19.4712, 19.4695) * CHOOSE( CONTROL!$C$15, $D$11, 100%, $F$11)</f>
        <v>19.4712</v>
      </c>
      <c r="F694" s="4">
        <f>CHOOSE( CONTROL!$C$32, 20.1733, 20.1717) * CHOOSE(CONTROL!$C$15, $D$11, 100%, $F$11)</f>
        <v>20.173300000000001</v>
      </c>
      <c r="G694" s="8">
        <f>CHOOSE( CONTROL!$C$32, 19.2484, 19.2467) * CHOOSE( CONTROL!$C$15, $D$11, 100%, $F$11)</f>
        <v>19.2484</v>
      </c>
      <c r="H694" s="4">
        <f>CHOOSE( CONTROL!$C$32, 20.1837, 20.1821) * CHOOSE(CONTROL!$C$15, $D$11, 100%, $F$11)</f>
        <v>20.183700000000002</v>
      </c>
      <c r="I694" s="8">
        <f>CHOOSE( CONTROL!$C$32, 19.008, 19.0064) * CHOOSE(CONTROL!$C$15, $D$11, 100%, $F$11)</f>
        <v>19.007999999999999</v>
      </c>
      <c r="J694" s="4">
        <f>CHOOSE( CONTROL!$C$32, 18.8813, 18.8797) * CHOOSE(CONTROL!$C$15, $D$11, 100%, $F$11)</f>
        <v>18.8813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1.2509999999999999</v>
      </c>
      <c r="Q694" s="9">
        <v>19.053000000000001</v>
      </c>
      <c r="R694" s="9"/>
      <c r="S694" s="11"/>
    </row>
    <row r="695" spans="1:19" ht="15.75">
      <c r="A695" s="13">
        <v>62305</v>
      </c>
      <c r="B695" s="8">
        <f>CHOOSE( CONTROL!$C$32, 20.3035, 20.3018) * CHOOSE(CONTROL!$C$15, $D$11, 100%, $F$11)</f>
        <v>20.3035</v>
      </c>
      <c r="C695" s="8">
        <f>CHOOSE( CONTROL!$C$32, 20.3114, 20.3098) * CHOOSE(CONTROL!$C$15, $D$11, 100%, $F$11)</f>
        <v>20.311399999999999</v>
      </c>
      <c r="D695" s="8">
        <f>CHOOSE( CONTROL!$C$32, 20.3086, 20.307) * CHOOSE( CONTROL!$C$15, $D$11, 100%, $F$11)</f>
        <v>20.308599999999998</v>
      </c>
      <c r="E695" s="12">
        <f>CHOOSE( CONTROL!$C$32, 20.3084, 20.3068) * CHOOSE( CONTROL!$C$15, $D$11, 100%, $F$11)</f>
        <v>20.308399999999999</v>
      </c>
      <c r="F695" s="4">
        <f>CHOOSE( CONTROL!$C$32, 21.0104, 21.0087) * CHOOSE(CONTROL!$C$15, $D$11, 100%, $F$11)</f>
        <v>21.010400000000001</v>
      </c>
      <c r="G695" s="8">
        <f>CHOOSE( CONTROL!$C$32, 20.0759, 20.0742) * CHOOSE( CONTROL!$C$15, $D$11, 100%, $F$11)</f>
        <v>20.075900000000001</v>
      </c>
      <c r="H695" s="4">
        <f>CHOOSE( CONTROL!$C$32, 21.011, 21.0094) * CHOOSE(CONTROL!$C$15, $D$11, 100%, $F$11)</f>
        <v>21.010999999999999</v>
      </c>
      <c r="I695" s="8">
        <f>CHOOSE( CONTROL!$C$32, 19.8216, 19.82) * CHOOSE(CONTROL!$C$15, $D$11, 100%, $F$11)</f>
        <v>19.8216</v>
      </c>
      <c r="J695" s="4">
        <f>CHOOSE( CONTROL!$C$32, 19.6937, 19.6921) * CHOOSE(CONTROL!$C$15, $D$11, 100%, $F$11)</f>
        <v>19.6937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1.2927</v>
      </c>
      <c r="Q695" s="9">
        <v>19.688099999999999</v>
      </c>
      <c r="R695" s="9"/>
      <c r="S695" s="11"/>
    </row>
    <row r="696" spans="1:19" ht="15.75">
      <c r="A696" s="13">
        <v>62336</v>
      </c>
      <c r="B696" s="8">
        <f>CHOOSE( CONTROL!$C$32, 18.7372, 18.7355) * CHOOSE(CONTROL!$C$15, $D$11, 100%, $F$11)</f>
        <v>18.737200000000001</v>
      </c>
      <c r="C696" s="8">
        <f>CHOOSE( CONTROL!$C$32, 18.7451, 18.7435) * CHOOSE(CONTROL!$C$15, $D$11, 100%, $F$11)</f>
        <v>18.745100000000001</v>
      </c>
      <c r="D696" s="8">
        <f>CHOOSE( CONTROL!$C$32, 18.7424, 18.7408) * CHOOSE( CONTROL!$C$15, $D$11, 100%, $F$11)</f>
        <v>18.7424</v>
      </c>
      <c r="E696" s="12">
        <f>CHOOSE( CONTROL!$C$32, 18.7422, 18.7406) * CHOOSE( CONTROL!$C$15, $D$11, 100%, $F$11)</f>
        <v>18.7422</v>
      </c>
      <c r="F696" s="4">
        <f>CHOOSE( CONTROL!$C$32, 19.4441, 19.4425) * CHOOSE(CONTROL!$C$15, $D$11, 100%, $F$11)</f>
        <v>19.444099999999999</v>
      </c>
      <c r="G696" s="8">
        <f>CHOOSE( CONTROL!$C$32, 18.528, 18.5264) * CHOOSE( CONTROL!$C$15, $D$11, 100%, $F$11)</f>
        <v>18.527999999999999</v>
      </c>
      <c r="H696" s="4">
        <f>CHOOSE( CONTROL!$C$32, 19.463, 19.4614) * CHOOSE(CONTROL!$C$15, $D$11, 100%, $F$11)</f>
        <v>19.463000000000001</v>
      </c>
      <c r="I696" s="8">
        <f>CHOOSE( CONTROL!$C$32, 18.3011, 18.2995) * CHOOSE(CONTROL!$C$15, $D$11, 100%, $F$11)</f>
        <v>18.301100000000002</v>
      </c>
      <c r="J696" s="4">
        <f>CHOOSE( CONTROL!$C$32, 18.1736, 18.172) * CHOOSE(CONTROL!$C$15, $D$11, 100%, $F$11)</f>
        <v>18.1736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1.2927</v>
      </c>
      <c r="Q696" s="9">
        <v>19.688099999999999</v>
      </c>
      <c r="R696" s="9"/>
      <c r="S696" s="11"/>
    </row>
    <row r="697" spans="1:19" ht="15.75">
      <c r="A697" s="13">
        <v>62366</v>
      </c>
      <c r="B697" s="8">
        <f>CHOOSE( CONTROL!$C$32, 18.345, 18.3433) * CHOOSE(CONTROL!$C$15, $D$11, 100%, $F$11)</f>
        <v>18.344999999999999</v>
      </c>
      <c r="C697" s="8">
        <f>CHOOSE( CONTROL!$C$32, 18.3529, 18.3513) * CHOOSE(CONTROL!$C$15, $D$11, 100%, $F$11)</f>
        <v>18.352900000000002</v>
      </c>
      <c r="D697" s="8">
        <f>CHOOSE( CONTROL!$C$32, 18.3502, 18.3485) * CHOOSE( CONTROL!$C$15, $D$11, 100%, $F$11)</f>
        <v>18.350200000000001</v>
      </c>
      <c r="E697" s="12">
        <f>CHOOSE( CONTROL!$C$32, 18.35, 18.3483) * CHOOSE( CONTROL!$C$15, $D$11, 100%, $F$11)</f>
        <v>18.350000000000001</v>
      </c>
      <c r="F697" s="4">
        <f>CHOOSE( CONTROL!$C$32, 19.0519, 19.0502) * CHOOSE(CONTROL!$C$15, $D$11, 100%, $F$11)</f>
        <v>19.0519</v>
      </c>
      <c r="G697" s="8">
        <f>CHOOSE( CONTROL!$C$32, 18.1403, 18.1387) * CHOOSE( CONTROL!$C$15, $D$11, 100%, $F$11)</f>
        <v>18.1403</v>
      </c>
      <c r="H697" s="4">
        <f>CHOOSE( CONTROL!$C$32, 19.0754, 19.0738) * CHOOSE(CONTROL!$C$15, $D$11, 100%, $F$11)</f>
        <v>19.075399999999998</v>
      </c>
      <c r="I697" s="8">
        <f>CHOOSE( CONTROL!$C$32, 17.9201, 17.9185) * CHOOSE(CONTROL!$C$15, $D$11, 100%, $F$11)</f>
        <v>17.920100000000001</v>
      </c>
      <c r="J697" s="4">
        <f>CHOOSE( CONTROL!$C$32, 17.793, 17.7913) * CHOOSE(CONTROL!$C$15, $D$11, 100%, $F$11)</f>
        <v>17.792999999999999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1.2509999999999999</v>
      </c>
      <c r="Q697" s="9">
        <v>19.053000000000001</v>
      </c>
      <c r="R697" s="9"/>
      <c r="S697" s="11"/>
    </row>
    <row r="698" spans="1:19" ht="15.75">
      <c r="A698" s="13">
        <v>62397</v>
      </c>
      <c r="B698" s="8">
        <f>CHOOSE( CONTROL!$C$32, 19.157, 19.1559) * CHOOSE(CONTROL!$C$15, $D$11, 100%, $F$11)</f>
        <v>19.157</v>
      </c>
      <c r="C698" s="8">
        <f>CHOOSE( CONTROL!$C$32, 19.1624, 19.1613) * CHOOSE(CONTROL!$C$15, $D$11, 100%, $F$11)</f>
        <v>19.162400000000002</v>
      </c>
      <c r="D698" s="8">
        <f>CHOOSE( CONTROL!$C$32, 19.1653, 19.1642) * CHOOSE( CONTROL!$C$15, $D$11, 100%, $F$11)</f>
        <v>19.165299999999998</v>
      </c>
      <c r="E698" s="12">
        <f>CHOOSE( CONTROL!$C$32, 19.1638, 19.1627) * CHOOSE( CONTROL!$C$15, $D$11, 100%, $F$11)</f>
        <v>19.163799999999998</v>
      </c>
      <c r="F698" s="4">
        <f>CHOOSE( CONTROL!$C$32, 19.8657, 19.8646) * CHOOSE(CONTROL!$C$15, $D$11, 100%, $F$11)</f>
        <v>19.8657</v>
      </c>
      <c r="G698" s="8">
        <f>CHOOSE( CONTROL!$C$32, 18.9448, 18.9437) * CHOOSE( CONTROL!$C$15, $D$11, 100%, $F$11)</f>
        <v>18.944800000000001</v>
      </c>
      <c r="H698" s="4">
        <f>CHOOSE( CONTROL!$C$32, 19.8797, 19.8786) * CHOOSE(CONTROL!$C$15, $D$11, 100%, $F$11)</f>
        <v>19.8797</v>
      </c>
      <c r="I698" s="8">
        <f>CHOOSE( CONTROL!$C$32, 18.7111, 18.7101) * CHOOSE(CONTROL!$C$15, $D$11, 100%, $F$11)</f>
        <v>18.711099999999998</v>
      </c>
      <c r="J698" s="4">
        <f>CHOOSE( CONTROL!$C$32, 18.5828, 18.5817) * CHOOSE(CONTROL!$C$15, $D$11, 100%, $F$11)</f>
        <v>18.582799999999999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1.2927</v>
      </c>
      <c r="Q698" s="9">
        <v>19.688099999999999</v>
      </c>
      <c r="R698" s="9"/>
      <c r="S698" s="11"/>
    </row>
    <row r="699" spans="1:19" ht="15.75">
      <c r="A699" s="13">
        <v>62427</v>
      </c>
      <c r="B699" s="8">
        <f>CHOOSE( CONTROL!$C$32, 20.6598, 20.6587) * CHOOSE(CONTROL!$C$15, $D$11, 100%, $F$11)</f>
        <v>20.659800000000001</v>
      </c>
      <c r="C699" s="8">
        <f>CHOOSE( CONTROL!$C$32, 20.6649, 20.6638) * CHOOSE(CONTROL!$C$15, $D$11, 100%, $F$11)</f>
        <v>20.664899999999999</v>
      </c>
      <c r="D699" s="8">
        <f>CHOOSE( CONTROL!$C$32, 20.6471, 20.646) * CHOOSE( CONTROL!$C$15, $D$11, 100%, $F$11)</f>
        <v>20.647099999999998</v>
      </c>
      <c r="E699" s="12">
        <f>CHOOSE( CONTROL!$C$32, 20.6531, 20.652) * CHOOSE( CONTROL!$C$15, $D$11, 100%, $F$11)</f>
        <v>20.653099999999998</v>
      </c>
      <c r="F699" s="4">
        <f>CHOOSE( CONTROL!$C$32, 21.3251, 21.324) * CHOOSE(CONTROL!$C$15, $D$11, 100%, $F$11)</f>
        <v>21.325099999999999</v>
      </c>
      <c r="G699" s="8">
        <f>CHOOSE( CONTROL!$C$32, 20.4294, 20.4284) * CHOOSE( CONTROL!$C$15, $D$11, 100%, $F$11)</f>
        <v>20.429400000000001</v>
      </c>
      <c r="H699" s="4">
        <f>CHOOSE( CONTROL!$C$32, 21.322, 21.3209) * CHOOSE(CONTROL!$C$15, $D$11, 100%, $F$11)</f>
        <v>21.321999999999999</v>
      </c>
      <c r="I699" s="8">
        <f>CHOOSE( CONTROL!$C$32, 20.2324, 20.2314) * CHOOSE(CONTROL!$C$15, $D$11, 100%, $F$11)</f>
        <v>20.232399999999998</v>
      </c>
      <c r="J699" s="4">
        <f>CHOOSE( CONTROL!$C$32, 20.0416, 20.0405) * CHOOSE(CONTROL!$C$15, $D$11, 100%, $F$11)</f>
        <v>20.041599999999999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62458</v>
      </c>
      <c r="B700" s="8">
        <f>CHOOSE( CONTROL!$C$32, 20.6222, 20.6212) * CHOOSE(CONTROL!$C$15, $D$11, 100%, $F$11)</f>
        <v>20.622199999999999</v>
      </c>
      <c r="C700" s="8">
        <f>CHOOSE( CONTROL!$C$32, 20.6273, 20.6262) * CHOOSE(CONTROL!$C$15, $D$11, 100%, $F$11)</f>
        <v>20.627300000000002</v>
      </c>
      <c r="D700" s="8">
        <f>CHOOSE( CONTROL!$C$32, 20.6109, 20.6098) * CHOOSE( CONTROL!$C$15, $D$11, 100%, $F$11)</f>
        <v>20.610900000000001</v>
      </c>
      <c r="E700" s="12">
        <f>CHOOSE( CONTROL!$C$32, 20.6164, 20.6153) * CHOOSE( CONTROL!$C$15, $D$11, 100%, $F$11)</f>
        <v>20.616399999999999</v>
      </c>
      <c r="F700" s="4">
        <f>CHOOSE( CONTROL!$C$32, 21.2875, 21.2864) * CHOOSE(CONTROL!$C$15, $D$11, 100%, $F$11)</f>
        <v>21.287500000000001</v>
      </c>
      <c r="G700" s="8">
        <f>CHOOSE( CONTROL!$C$32, 20.3934, 20.3923) * CHOOSE( CONTROL!$C$15, $D$11, 100%, $F$11)</f>
        <v>20.3934</v>
      </c>
      <c r="H700" s="4">
        <f>CHOOSE( CONTROL!$C$32, 21.2849, 21.2838) * CHOOSE(CONTROL!$C$15, $D$11, 100%, $F$11)</f>
        <v>21.2849</v>
      </c>
      <c r="I700" s="8">
        <f>CHOOSE( CONTROL!$C$32, 20.2004, 20.1994) * CHOOSE(CONTROL!$C$15, $D$11, 100%, $F$11)</f>
        <v>20.200399999999998</v>
      </c>
      <c r="J700" s="4">
        <f>CHOOSE( CONTROL!$C$32, 20.0051, 20.0041) * CHOOSE(CONTROL!$C$15, $D$11, 100%, $F$11)</f>
        <v>20.005099999999999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62489</v>
      </c>
      <c r="B701" s="8">
        <f>CHOOSE( CONTROL!$C$32, 21.2302, 21.2292) * CHOOSE(CONTROL!$C$15, $D$11, 100%, $F$11)</f>
        <v>21.2302</v>
      </c>
      <c r="C701" s="8">
        <f>CHOOSE( CONTROL!$C$32, 21.2353, 21.2342) * CHOOSE(CONTROL!$C$15, $D$11, 100%, $F$11)</f>
        <v>21.235299999999999</v>
      </c>
      <c r="D701" s="8">
        <f>CHOOSE( CONTROL!$C$32, 21.214, 21.2129) * CHOOSE( CONTROL!$C$15, $D$11, 100%, $F$11)</f>
        <v>21.213999999999999</v>
      </c>
      <c r="E701" s="12">
        <f>CHOOSE( CONTROL!$C$32, 21.2212, 21.2202) * CHOOSE( CONTROL!$C$15, $D$11, 100%, $F$11)</f>
        <v>21.2212</v>
      </c>
      <c r="F701" s="4">
        <f>CHOOSE( CONTROL!$C$32, 21.8955, 21.8944) * CHOOSE(CONTROL!$C$15, $D$11, 100%, $F$11)</f>
        <v>21.895499999999998</v>
      </c>
      <c r="G701" s="8">
        <f>CHOOSE( CONTROL!$C$32, 20.9837, 20.9827) * CHOOSE( CONTROL!$C$15, $D$11, 100%, $F$11)</f>
        <v>20.983699999999999</v>
      </c>
      <c r="H701" s="4">
        <f>CHOOSE( CONTROL!$C$32, 21.8857, 21.8847) * CHOOSE(CONTROL!$C$15, $D$11, 100%, $F$11)</f>
        <v>21.8857</v>
      </c>
      <c r="I701" s="8">
        <f>CHOOSE( CONTROL!$C$32, 20.7528, 20.7518) * CHOOSE(CONTROL!$C$15, $D$11, 100%, $F$11)</f>
        <v>20.752800000000001</v>
      </c>
      <c r="J701" s="4">
        <f>CHOOSE( CONTROL!$C$32, 20.5952, 20.5941) * CHOOSE(CONTROL!$C$15, $D$11, 100%, $F$11)</f>
        <v>20.595199999999998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62517</v>
      </c>
      <c r="B702" s="8">
        <f>CHOOSE( CONTROL!$C$32, 19.8584, 19.8573) * CHOOSE(CONTROL!$C$15, $D$11, 100%, $F$11)</f>
        <v>19.8584</v>
      </c>
      <c r="C702" s="8">
        <f>CHOOSE( CONTROL!$C$32, 19.8635, 19.8624) * CHOOSE(CONTROL!$C$15, $D$11, 100%, $F$11)</f>
        <v>19.863499999999998</v>
      </c>
      <c r="D702" s="8">
        <f>CHOOSE( CONTROL!$C$32, 19.8421, 19.841) * CHOOSE( CONTROL!$C$15, $D$11, 100%, $F$11)</f>
        <v>19.842099999999999</v>
      </c>
      <c r="E702" s="12">
        <f>CHOOSE( CONTROL!$C$32, 19.8494, 19.8483) * CHOOSE( CONTROL!$C$15, $D$11, 100%, $F$11)</f>
        <v>19.849399999999999</v>
      </c>
      <c r="F702" s="4">
        <f>CHOOSE( CONTROL!$C$32, 20.5237, 20.5226) * CHOOSE(CONTROL!$C$15, $D$11, 100%, $F$11)</f>
        <v>20.523700000000002</v>
      </c>
      <c r="G702" s="8">
        <f>CHOOSE( CONTROL!$C$32, 19.6279, 19.6268) * CHOOSE( CONTROL!$C$15, $D$11, 100%, $F$11)</f>
        <v>19.6279</v>
      </c>
      <c r="H702" s="4">
        <f>CHOOSE( CONTROL!$C$32, 20.53, 20.5289) * CHOOSE(CONTROL!$C$15, $D$11, 100%, $F$11)</f>
        <v>20.53</v>
      </c>
      <c r="I702" s="8">
        <f>CHOOSE( CONTROL!$C$32, 19.4204, 19.4193) * CHOOSE(CONTROL!$C$15, $D$11, 100%, $F$11)</f>
        <v>19.420400000000001</v>
      </c>
      <c r="J702" s="4">
        <f>CHOOSE( CONTROL!$C$32, 19.2638, 19.2628) * CHOOSE(CONTROL!$C$15, $D$11, 100%, $F$11)</f>
        <v>19.2638</v>
      </c>
      <c r="K702" s="4"/>
      <c r="L702" s="9">
        <v>26.469899999999999</v>
      </c>
      <c r="M702" s="9">
        <v>10.8962</v>
      </c>
      <c r="N702" s="9">
        <v>4.4660000000000002</v>
      </c>
      <c r="O702" s="9">
        <v>0.33789999999999998</v>
      </c>
      <c r="P702" s="9">
        <v>1.1676</v>
      </c>
      <c r="Q702" s="9">
        <v>17.782800000000002</v>
      </c>
      <c r="R702" s="9"/>
      <c r="S702" s="11"/>
    </row>
    <row r="703" spans="1:19" ht="15.75">
      <c r="A703" s="13">
        <v>62548</v>
      </c>
      <c r="B703" s="8">
        <f>CHOOSE( CONTROL!$C$32, 19.4359, 19.4348) * CHOOSE(CONTROL!$C$15, $D$11, 100%, $F$11)</f>
        <v>19.4359</v>
      </c>
      <c r="C703" s="8">
        <f>CHOOSE( CONTROL!$C$32, 19.4409, 19.4399) * CHOOSE(CONTROL!$C$15, $D$11, 100%, $F$11)</f>
        <v>19.440899999999999</v>
      </c>
      <c r="D703" s="8">
        <f>CHOOSE( CONTROL!$C$32, 19.4189, 19.4178) * CHOOSE( CONTROL!$C$15, $D$11, 100%, $F$11)</f>
        <v>19.418900000000001</v>
      </c>
      <c r="E703" s="12">
        <f>CHOOSE( CONTROL!$C$32, 19.4264, 19.4253) * CHOOSE( CONTROL!$C$15, $D$11, 100%, $F$11)</f>
        <v>19.426400000000001</v>
      </c>
      <c r="F703" s="4">
        <f>CHOOSE( CONTROL!$C$32, 20.1011, 20.1001) * CHOOSE(CONTROL!$C$15, $D$11, 100%, $F$11)</f>
        <v>20.101099999999999</v>
      </c>
      <c r="G703" s="8">
        <f>CHOOSE( CONTROL!$C$32, 19.2098, 19.2088) * CHOOSE( CONTROL!$C$15, $D$11, 100%, $F$11)</f>
        <v>19.209800000000001</v>
      </c>
      <c r="H703" s="4">
        <f>CHOOSE( CONTROL!$C$32, 20.1124, 20.1113) * CHOOSE(CONTROL!$C$15, $D$11, 100%, $F$11)</f>
        <v>20.112400000000001</v>
      </c>
      <c r="I703" s="8">
        <f>CHOOSE( CONTROL!$C$32, 19.0081, 19.0071) * CHOOSE(CONTROL!$C$15, $D$11, 100%, $F$11)</f>
        <v>19.008099999999999</v>
      </c>
      <c r="J703" s="4">
        <f>CHOOSE( CONTROL!$C$32, 18.8538, 18.8527) * CHOOSE(CONTROL!$C$15, $D$11, 100%, $F$11)</f>
        <v>18.8538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62578</v>
      </c>
      <c r="B704" s="8">
        <f>CHOOSE( CONTROL!$C$32, 19.7319, 19.7308) * CHOOSE(CONTROL!$C$15, $D$11, 100%, $F$11)</f>
        <v>19.7319</v>
      </c>
      <c r="C704" s="8">
        <f>CHOOSE( CONTROL!$C$32, 19.7364, 19.7353) * CHOOSE(CONTROL!$C$15, $D$11, 100%, $F$11)</f>
        <v>19.7364</v>
      </c>
      <c r="D704" s="8">
        <f>CHOOSE( CONTROL!$C$32, 19.7392, 19.7382) * CHOOSE( CONTROL!$C$15, $D$11, 100%, $F$11)</f>
        <v>19.7392</v>
      </c>
      <c r="E704" s="12">
        <f>CHOOSE( CONTROL!$C$32, 19.7378, 19.7367) * CHOOSE( CONTROL!$C$15, $D$11, 100%, $F$11)</f>
        <v>19.7378</v>
      </c>
      <c r="F704" s="4">
        <f>CHOOSE( CONTROL!$C$32, 20.4402, 20.4391) * CHOOSE(CONTROL!$C$15, $D$11, 100%, $F$11)</f>
        <v>20.440200000000001</v>
      </c>
      <c r="G704" s="8">
        <f>CHOOSE( CONTROL!$C$32, 19.5121, 19.511) * CHOOSE( CONTROL!$C$15, $D$11, 100%, $F$11)</f>
        <v>19.5121</v>
      </c>
      <c r="H704" s="4">
        <f>CHOOSE( CONTROL!$C$32, 20.4475, 20.4464) * CHOOSE(CONTROL!$C$15, $D$11, 100%, $F$11)</f>
        <v>20.447500000000002</v>
      </c>
      <c r="I704" s="8">
        <f>CHOOSE( CONTROL!$C$32, 19.2671, 19.266) * CHOOSE(CONTROL!$C$15, $D$11, 100%, $F$11)</f>
        <v>19.267099999999999</v>
      </c>
      <c r="J704" s="4">
        <f>CHOOSE( CONTROL!$C$32, 19.1403, 19.1392) * CHOOSE(CONTROL!$C$15, $D$11, 100%, $F$11)</f>
        <v>19.1403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1.2509999999999999</v>
      </c>
      <c r="Q704" s="9">
        <v>19.053000000000001</v>
      </c>
      <c r="R704" s="9"/>
      <c r="S704" s="11"/>
    </row>
    <row r="705" spans="1:19" ht="15.75">
      <c r="A705" s="13">
        <v>62609</v>
      </c>
      <c r="B705" s="8">
        <f>CHOOSE( CONTROL!$C$32, 20.2593, 20.2576) * CHOOSE(CONTROL!$C$15, $D$11, 100%, $F$11)</f>
        <v>20.2593</v>
      </c>
      <c r="C705" s="8">
        <f>CHOOSE( CONTROL!$C$32, 20.2673, 20.2656) * CHOOSE(CONTROL!$C$15, $D$11, 100%, $F$11)</f>
        <v>20.267299999999999</v>
      </c>
      <c r="D705" s="8">
        <f>CHOOSE( CONTROL!$C$32, 20.264, 20.2624) * CHOOSE( CONTROL!$C$15, $D$11, 100%, $F$11)</f>
        <v>20.263999999999999</v>
      </c>
      <c r="E705" s="12">
        <f>CHOOSE( CONTROL!$C$32, 20.264, 20.2623) * CHOOSE( CONTROL!$C$15, $D$11, 100%, $F$11)</f>
        <v>20.263999999999999</v>
      </c>
      <c r="F705" s="4">
        <f>CHOOSE( CONTROL!$C$32, 20.9662, 20.9646) * CHOOSE(CONTROL!$C$15, $D$11, 100%, $F$11)</f>
        <v>20.966200000000001</v>
      </c>
      <c r="G705" s="8">
        <f>CHOOSE( CONTROL!$C$32, 20.0319, 20.0302) * CHOOSE( CONTROL!$C$15, $D$11, 100%, $F$11)</f>
        <v>20.0319</v>
      </c>
      <c r="H705" s="4">
        <f>CHOOSE( CONTROL!$C$32, 20.9674, 20.9657) * CHOOSE(CONTROL!$C$15, $D$11, 100%, $F$11)</f>
        <v>20.967400000000001</v>
      </c>
      <c r="I705" s="8">
        <f>CHOOSE( CONTROL!$C$32, 19.7771, 19.7755) * CHOOSE(CONTROL!$C$15, $D$11, 100%, $F$11)</f>
        <v>19.777100000000001</v>
      </c>
      <c r="J705" s="4">
        <f>CHOOSE( CONTROL!$C$32, 19.6508, 19.6492) * CHOOSE(CONTROL!$C$15, $D$11, 100%, $F$11)</f>
        <v>19.6508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1.2927</v>
      </c>
      <c r="Q705" s="9">
        <v>19.688099999999999</v>
      </c>
      <c r="R705" s="9"/>
      <c r="S705" s="11"/>
    </row>
    <row r="706" spans="1:19" ht="15.75">
      <c r="A706" s="13">
        <v>62639</v>
      </c>
      <c r="B706" s="8">
        <f>CHOOSE( CONTROL!$C$32, 19.9338, 19.9321) * CHOOSE(CONTROL!$C$15, $D$11, 100%, $F$11)</f>
        <v>19.933800000000002</v>
      </c>
      <c r="C706" s="8">
        <f>CHOOSE( CONTROL!$C$32, 19.9418, 19.9401) * CHOOSE(CONTROL!$C$15, $D$11, 100%, $F$11)</f>
        <v>19.941800000000001</v>
      </c>
      <c r="D706" s="8">
        <f>CHOOSE( CONTROL!$C$32, 19.9387, 19.9371) * CHOOSE( CONTROL!$C$15, $D$11, 100%, $F$11)</f>
        <v>19.938700000000001</v>
      </c>
      <c r="E706" s="12">
        <f>CHOOSE( CONTROL!$C$32, 19.9386, 19.937) * CHOOSE( CONTROL!$C$15, $D$11, 100%, $F$11)</f>
        <v>19.938600000000001</v>
      </c>
      <c r="F706" s="4">
        <f>CHOOSE( CONTROL!$C$32, 20.6407, 20.6391) * CHOOSE(CONTROL!$C$15, $D$11, 100%, $F$11)</f>
        <v>20.640699999999999</v>
      </c>
      <c r="G706" s="8">
        <f>CHOOSE( CONTROL!$C$32, 19.7103, 19.7087) * CHOOSE( CONTROL!$C$15, $D$11, 100%, $F$11)</f>
        <v>19.7103</v>
      </c>
      <c r="H706" s="4">
        <f>CHOOSE( CONTROL!$C$32, 20.6457, 20.644) * CHOOSE(CONTROL!$C$15, $D$11, 100%, $F$11)</f>
        <v>20.645700000000001</v>
      </c>
      <c r="I706" s="8">
        <f>CHOOSE( CONTROL!$C$32, 19.4618, 19.4602) * CHOOSE(CONTROL!$C$15, $D$11, 100%, $F$11)</f>
        <v>19.4618</v>
      </c>
      <c r="J706" s="4">
        <f>CHOOSE( CONTROL!$C$32, 19.3349, 19.3333) * CHOOSE(CONTROL!$C$15, $D$11, 100%, $F$11)</f>
        <v>19.334900000000001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1.2509999999999999</v>
      </c>
      <c r="Q706" s="9">
        <v>19.053000000000001</v>
      </c>
      <c r="R706" s="9"/>
      <c r="S706" s="11"/>
    </row>
    <row r="707" spans="1:19" ht="15.75">
      <c r="A707" s="13">
        <v>62670</v>
      </c>
      <c r="B707" s="8">
        <f>CHOOSE( CONTROL!$C$32, 20.791, 20.7893) * CHOOSE(CONTROL!$C$15, $D$11, 100%, $F$11)</f>
        <v>20.791</v>
      </c>
      <c r="C707" s="8">
        <f>CHOOSE( CONTROL!$C$32, 20.799, 20.7973) * CHOOSE(CONTROL!$C$15, $D$11, 100%, $F$11)</f>
        <v>20.798999999999999</v>
      </c>
      <c r="D707" s="8">
        <f>CHOOSE( CONTROL!$C$32, 20.7962, 20.7945) * CHOOSE( CONTROL!$C$15, $D$11, 100%, $F$11)</f>
        <v>20.796199999999999</v>
      </c>
      <c r="E707" s="12">
        <f>CHOOSE( CONTROL!$C$32, 20.796, 20.7943) * CHOOSE( CONTROL!$C$15, $D$11, 100%, $F$11)</f>
        <v>20.795999999999999</v>
      </c>
      <c r="F707" s="4">
        <f>CHOOSE( CONTROL!$C$32, 21.4979, 21.4963) * CHOOSE(CONTROL!$C$15, $D$11, 100%, $F$11)</f>
        <v>21.497900000000001</v>
      </c>
      <c r="G707" s="8">
        <f>CHOOSE( CONTROL!$C$32, 20.5577, 20.556) * CHOOSE( CONTROL!$C$15, $D$11, 100%, $F$11)</f>
        <v>20.557700000000001</v>
      </c>
      <c r="H707" s="4">
        <f>CHOOSE( CONTROL!$C$32, 21.4928, 21.4912) * CHOOSE(CONTROL!$C$15, $D$11, 100%, $F$11)</f>
        <v>21.492799999999999</v>
      </c>
      <c r="I707" s="8">
        <f>CHOOSE( CONTROL!$C$32, 20.295, 20.2934) * CHOOSE(CONTROL!$C$15, $D$11, 100%, $F$11)</f>
        <v>20.295000000000002</v>
      </c>
      <c r="J707" s="4">
        <f>CHOOSE( CONTROL!$C$32, 20.1668, 20.1652) * CHOOSE(CONTROL!$C$15, $D$11, 100%, $F$11)</f>
        <v>20.166799999999999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1.2927</v>
      </c>
      <c r="Q707" s="9">
        <v>19.688099999999999</v>
      </c>
      <c r="R707" s="9"/>
      <c r="S707" s="11"/>
    </row>
    <row r="708" spans="1:19" ht="15.75">
      <c r="A708" s="13">
        <v>62701</v>
      </c>
      <c r="B708" s="8">
        <f>CHOOSE( CONTROL!$C$32, 19.1871, 19.1854) * CHOOSE(CONTROL!$C$15, $D$11, 100%, $F$11)</f>
        <v>19.187100000000001</v>
      </c>
      <c r="C708" s="8">
        <f>CHOOSE( CONTROL!$C$32, 19.195, 19.1934) * CHOOSE(CONTROL!$C$15, $D$11, 100%, $F$11)</f>
        <v>19.195</v>
      </c>
      <c r="D708" s="8">
        <f>CHOOSE( CONTROL!$C$32, 19.1923, 19.1907) * CHOOSE( CONTROL!$C$15, $D$11, 100%, $F$11)</f>
        <v>19.192299999999999</v>
      </c>
      <c r="E708" s="12">
        <f>CHOOSE( CONTROL!$C$32, 19.1921, 19.1905) * CHOOSE( CONTROL!$C$15, $D$11, 100%, $F$11)</f>
        <v>19.1921</v>
      </c>
      <c r="F708" s="4">
        <f>CHOOSE( CONTROL!$C$32, 19.894, 19.8924) * CHOOSE(CONTROL!$C$15, $D$11, 100%, $F$11)</f>
        <v>19.893999999999998</v>
      </c>
      <c r="G708" s="8">
        <f>CHOOSE( CONTROL!$C$32, 18.9726, 18.971) * CHOOSE( CONTROL!$C$15, $D$11, 100%, $F$11)</f>
        <v>18.9726</v>
      </c>
      <c r="H708" s="4">
        <f>CHOOSE( CONTROL!$C$32, 19.9077, 19.906) * CHOOSE(CONTROL!$C$15, $D$11, 100%, $F$11)</f>
        <v>19.907699999999998</v>
      </c>
      <c r="I708" s="8">
        <f>CHOOSE( CONTROL!$C$32, 18.738, 18.7364) * CHOOSE(CONTROL!$C$15, $D$11, 100%, $F$11)</f>
        <v>18.738</v>
      </c>
      <c r="J708" s="4">
        <f>CHOOSE( CONTROL!$C$32, 18.6102, 18.6086) * CHOOSE(CONTROL!$C$15, $D$11, 100%, $F$11)</f>
        <v>18.610199999999999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1.2927</v>
      </c>
      <c r="Q708" s="9">
        <v>19.688099999999999</v>
      </c>
      <c r="R708" s="9"/>
      <c r="S708" s="11"/>
    </row>
    <row r="709" spans="1:19" ht="15.75">
      <c r="A709" s="13">
        <v>62731</v>
      </c>
      <c r="B709" s="8">
        <f>CHOOSE( CONTROL!$C$32, 18.7854, 18.7838) * CHOOSE(CONTROL!$C$15, $D$11, 100%, $F$11)</f>
        <v>18.785399999999999</v>
      </c>
      <c r="C709" s="8">
        <f>CHOOSE( CONTROL!$C$32, 18.7934, 18.7917) * CHOOSE(CONTROL!$C$15, $D$11, 100%, $F$11)</f>
        <v>18.793399999999998</v>
      </c>
      <c r="D709" s="8">
        <f>CHOOSE( CONTROL!$C$32, 18.7907, 18.789) * CHOOSE( CONTROL!$C$15, $D$11, 100%, $F$11)</f>
        <v>18.790700000000001</v>
      </c>
      <c r="E709" s="12">
        <f>CHOOSE( CONTROL!$C$32, 18.7905, 18.7888) * CHOOSE( CONTROL!$C$15, $D$11, 100%, $F$11)</f>
        <v>18.790500000000002</v>
      </c>
      <c r="F709" s="4">
        <f>CHOOSE( CONTROL!$C$32, 19.4924, 19.4907) * CHOOSE(CONTROL!$C$15, $D$11, 100%, $F$11)</f>
        <v>19.4924</v>
      </c>
      <c r="G709" s="8">
        <f>CHOOSE( CONTROL!$C$32, 18.5756, 18.574) * CHOOSE( CONTROL!$C$15, $D$11, 100%, $F$11)</f>
        <v>18.575600000000001</v>
      </c>
      <c r="H709" s="4">
        <f>CHOOSE( CONTROL!$C$32, 19.5107, 19.5091) * CHOOSE(CONTROL!$C$15, $D$11, 100%, $F$11)</f>
        <v>19.5107</v>
      </c>
      <c r="I709" s="8">
        <f>CHOOSE( CONTROL!$C$32, 18.3478, 18.3462) * CHOOSE(CONTROL!$C$15, $D$11, 100%, $F$11)</f>
        <v>18.347799999999999</v>
      </c>
      <c r="J709" s="4">
        <f>CHOOSE( CONTROL!$C$32, 18.2204, 18.2188) * CHOOSE(CONTROL!$C$15, $D$11, 100%, $F$11)</f>
        <v>18.220400000000001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1.2509999999999999</v>
      </c>
      <c r="Q709" s="9">
        <v>19.053000000000001</v>
      </c>
      <c r="R709" s="9"/>
      <c r="S709" s="11"/>
    </row>
    <row r="710" spans="1:19" ht="15.75">
      <c r="A710" s="13">
        <v>62762</v>
      </c>
      <c r="B710" s="8">
        <f>CHOOSE( CONTROL!$C$32, 19.6171, 19.616) * CHOOSE(CONTROL!$C$15, $D$11, 100%, $F$11)</f>
        <v>19.617100000000001</v>
      </c>
      <c r="C710" s="8">
        <f>CHOOSE( CONTROL!$C$32, 19.6224, 19.6213) * CHOOSE(CONTROL!$C$15, $D$11, 100%, $F$11)</f>
        <v>19.622399999999999</v>
      </c>
      <c r="D710" s="8">
        <f>CHOOSE( CONTROL!$C$32, 19.6253, 19.6242) * CHOOSE( CONTROL!$C$15, $D$11, 100%, $F$11)</f>
        <v>19.625299999999999</v>
      </c>
      <c r="E710" s="12">
        <f>CHOOSE( CONTROL!$C$32, 19.6238, 19.6227) * CHOOSE( CONTROL!$C$15, $D$11, 100%, $F$11)</f>
        <v>19.623799999999999</v>
      </c>
      <c r="F710" s="4">
        <f>CHOOSE( CONTROL!$C$32, 20.3257, 20.3247) * CHOOSE(CONTROL!$C$15, $D$11, 100%, $F$11)</f>
        <v>20.325700000000001</v>
      </c>
      <c r="G710" s="8">
        <f>CHOOSE( CONTROL!$C$32, 19.3994, 19.3983) * CHOOSE( CONTROL!$C$15, $D$11, 100%, $F$11)</f>
        <v>19.3994</v>
      </c>
      <c r="H710" s="4">
        <f>CHOOSE( CONTROL!$C$32, 20.3344, 20.3333) * CHOOSE(CONTROL!$C$15, $D$11, 100%, $F$11)</f>
        <v>20.334399999999999</v>
      </c>
      <c r="I710" s="8">
        <f>CHOOSE( CONTROL!$C$32, 19.1578, 19.1568) * CHOOSE(CONTROL!$C$15, $D$11, 100%, $F$11)</f>
        <v>19.157800000000002</v>
      </c>
      <c r="J710" s="4">
        <f>CHOOSE( CONTROL!$C$32, 19.0292, 19.0282) * CHOOSE(CONTROL!$C$15, $D$11, 100%, $F$11)</f>
        <v>19.029199999999999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1.2927</v>
      </c>
      <c r="Q710" s="9">
        <v>19.688099999999999</v>
      </c>
      <c r="R710" s="9"/>
      <c r="S710" s="11"/>
    </row>
    <row r="711" spans="1:19" ht="15.75">
      <c r="A711" s="13">
        <v>62792</v>
      </c>
      <c r="B711" s="8">
        <f>CHOOSE( CONTROL!$C$32, 21.156, 21.1549) * CHOOSE(CONTROL!$C$15, $D$11, 100%, $F$11)</f>
        <v>21.155999999999999</v>
      </c>
      <c r="C711" s="8">
        <f>CHOOSE( CONTROL!$C$32, 21.161, 21.16) * CHOOSE(CONTROL!$C$15, $D$11, 100%, $F$11)</f>
        <v>21.161000000000001</v>
      </c>
      <c r="D711" s="8">
        <f>CHOOSE( CONTROL!$C$32, 21.1432, 21.1421) * CHOOSE( CONTROL!$C$15, $D$11, 100%, $F$11)</f>
        <v>21.1432</v>
      </c>
      <c r="E711" s="12">
        <f>CHOOSE( CONTROL!$C$32, 21.1492, 21.1481) * CHOOSE( CONTROL!$C$15, $D$11, 100%, $F$11)</f>
        <v>21.1492</v>
      </c>
      <c r="F711" s="4">
        <f>CHOOSE( CONTROL!$C$32, 21.8212, 21.8202) * CHOOSE(CONTROL!$C$15, $D$11, 100%, $F$11)</f>
        <v>21.821200000000001</v>
      </c>
      <c r="G711" s="8">
        <f>CHOOSE( CONTROL!$C$32, 20.9198, 20.9187) * CHOOSE( CONTROL!$C$15, $D$11, 100%, $F$11)</f>
        <v>20.919799999999999</v>
      </c>
      <c r="H711" s="4">
        <f>CHOOSE( CONTROL!$C$32, 21.8123, 21.8113) * CHOOSE(CONTROL!$C$15, $D$11, 100%, $F$11)</f>
        <v>21.8123</v>
      </c>
      <c r="I711" s="8">
        <f>CHOOSE( CONTROL!$C$32, 20.7142, 20.7131) * CHOOSE(CONTROL!$C$15, $D$11, 100%, $F$11)</f>
        <v>20.714200000000002</v>
      </c>
      <c r="J711" s="4">
        <f>CHOOSE( CONTROL!$C$32, 20.5231, 20.5221) * CHOOSE(CONTROL!$C$15, $D$11, 100%, $F$11)</f>
        <v>20.523099999999999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62823</v>
      </c>
      <c r="B712" s="8">
        <f>CHOOSE( CONTROL!$C$32, 21.1175, 21.1164) * CHOOSE(CONTROL!$C$15, $D$11, 100%, $F$11)</f>
        <v>21.1175</v>
      </c>
      <c r="C712" s="8">
        <f>CHOOSE( CONTROL!$C$32, 21.1226, 21.1215) * CHOOSE(CONTROL!$C$15, $D$11, 100%, $F$11)</f>
        <v>21.122599999999998</v>
      </c>
      <c r="D712" s="8">
        <f>CHOOSE( CONTROL!$C$32, 21.1062, 21.1051) * CHOOSE( CONTROL!$C$15, $D$11, 100%, $F$11)</f>
        <v>21.106200000000001</v>
      </c>
      <c r="E712" s="12">
        <f>CHOOSE( CONTROL!$C$32, 21.1117, 21.1106) * CHOOSE( CONTROL!$C$15, $D$11, 100%, $F$11)</f>
        <v>21.111699999999999</v>
      </c>
      <c r="F712" s="4">
        <f>CHOOSE( CONTROL!$C$32, 21.7828, 21.7817) * CHOOSE(CONTROL!$C$15, $D$11, 100%, $F$11)</f>
        <v>21.782800000000002</v>
      </c>
      <c r="G712" s="8">
        <f>CHOOSE( CONTROL!$C$32, 20.8828, 20.8817) * CHOOSE( CONTROL!$C$15, $D$11, 100%, $F$11)</f>
        <v>20.8828</v>
      </c>
      <c r="H712" s="4">
        <f>CHOOSE( CONTROL!$C$32, 21.7743, 21.7733) * CHOOSE(CONTROL!$C$15, $D$11, 100%, $F$11)</f>
        <v>21.7743</v>
      </c>
      <c r="I712" s="8">
        <f>CHOOSE( CONTROL!$C$32, 20.6813, 20.6803) * CHOOSE(CONTROL!$C$15, $D$11, 100%, $F$11)</f>
        <v>20.6813</v>
      </c>
      <c r="J712" s="4">
        <f>CHOOSE( CONTROL!$C$32, 20.4858, 20.4847) * CHOOSE(CONTROL!$C$15, $D$11, 100%, $F$11)</f>
        <v>20.485800000000001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62854</v>
      </c>
      <c r="B713" s="8">
        <f>CHOOSE( CONTROL!$C$32, 21.7401, 21.739) * CHOOSE(CONTROL!$C$15, $D$11, 100%, $F$11)</f>
        <v>21.740100000000002</v>
      </c>
      <c r="C713" s="8">
        <f>CHOOSE( CONTROL!$C$32, 21.7452, 21.7441) * CHOOSE(CONTROL!$C$15, $D$11, 100%, $F$11)</f>
        <v>21.745200000000001</v>
      </c>
      <c r="D713" s="8">
        <f>CHOOSE( CONTROL!$C$32, 21.7239, 21.7228) * CHOOSE( CONTROL!$C$15, $D$11, 100%, $F$11)</f>
        <v>21.7239</v>
      </c>
      <c r="E713" s="12">
        <f>CHOOSE( CONTROL!$C$32, 21.7311, 21.73) * CHOOSE( CONTROL!$C$15, $D$11, 100%, $F$11)</f>
        <v>21.731100000000001</v>
      </c>
      <c r="F713" s="4">
        <f>CHOOSE( CONTROL!$C$32, 22.4054, 22.4043) * CHOOSE(CONTROL!$C$15, $D$11, 100%, $F$11)</f>
        <v>22.4054</v>
      </c>
      <c r="G713" s="8">
        <f>CHOOSE( CONTROL!$C$32, 21.4876, 21.4866) * CHOOSE( CONTROL!$C$15, $D$11, 100%, $F$11)</f>
        <v>21.4876</v>
      </c>
      <c r="H713" s="4">
        <f>CHOOSE( CONTROL!$C$32, 22.3896, 22.3886) * CHOOSE(CONTROL!$C$15, $D$11, 100%, $F$11)</f>
        <v>22.389600000000002</v>
      </c>
      <c r="I713" s="8">
        <f>CHOOSE( CONTROL!$C$32, 21.2479, 21.2468) * CHOOSE(CONTROL!$C$15, $D$11, 100%, $F$11)</f>
        <v>21.247900000000001</v>
      </c>
      <c r="J713" s="4">
        <f>CHOOSE( CONTROL!$C$32, 21.09, 21.089) * CHOOSE(CONTROL!$C$15, $D$11, 100%, $F$11)</f>
        <v>21.09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62883</v>
      </c>
      <c r="B714" s="8">
        <f>CHOOSE( CONTROL!$C$32, 20.3353, 20.3342) * CHOOSE(CONTROL!$C$15, $D$11, 100%, $F$11)</f>
        <v>20.3353</v>
      </c>
      <c r="C714" s="8">
        <f>CHOOSE( CONTROL!$C$32, 20.3404, 20.3393) * CHOOSE(CONTROL!$C$15, $D$11, 100%, $F$11)</f>
        <v>20.340399999999999</v>
      </c>
      <c r="D714" s="8">
        <f>CHOOSE( CONTROL!$C$32, 20.319, 20.3179) * CHOOSE( CONTROL!$C$15, $D$11, 100%, $F$11)</f>
        <v>20.318999999999999</v>
      </c>
      <c r="E714" s="12">
        <f>CHOOSE( CONTROL!$C$32, 20.3263, 20.3252) * CHOOSE( CONTROL!$C$15, $D$11, 100%, $F$11)</f>
        <v>20.3263</v>
      </c>
      <c r="F714" s="4">
        <f>CHOOSE( CONTROL!$C$32, 21.0006, 20.9995) * CHOOSE(CONTROL!$C$15, $D$11, 100%, $F$11)</f>
        <v>21.000599999999999</v>
      </c>
      <c r="G714" s="8">
        <f>CHOOSE( CONTROL!$C$32, 20.0992, 20.0981) * CHOOSE( CONTROL!$C$15, $D$11, 100%, $F$11)</f>
        <v>20.0992</v>
      </c>
      <c r="H714" s="4">
        <f>CHOOSE( CONTROL!$C$32, 21.0013, 21.0002) * CHOOSE(CONTROL!$C$15, $D$11, 100%, $F$11)</f>
        <v>21.001300000000001</v>
      </c>
      <c r="I714" s="8">
        <f>CHOOSE( CONTROL!$C$32, 19.8834, 19.8824) * CHOOSE(CONTROL!$C$15, $D$11, 100%, $F$11)</f>
        <v>19.883400000000002</v>
      </c>
      <c r="J714" s="4">
        <f>CHOOSE( CONTROL!$C$32, 19.7267, 19.7256) * CHOOSE(CONTROL!$C$15, $D$11, 100%, $F$11)</f>
        <v>19.726700000000001</v>
      </c>
      <c r="K714" s="4"/>
      <c r="L714" s="9">
        <v>27.415299999999998</v>
      </c>
      <c r="M714" s="9">
        <v>11.285299999999999</v>
      </c>
      <c r="N714" s="9">
        <v>4.6254999999999997</v>
      </c>
      <c r="O714" s="9">
        <v>0.34989999999999999</v>
      </c>
      <c r="P714" s="9">
        <v>1.2093</v>
      </c>
      <c r="Q714" s="9">
        <v>18.417899999999999</v>
      </c>
      <c r="R714" s="9"/>
      <c r="S714" s="11"/>
    </row>
    <row r="715" spans="1:19" ht="15.75">
      <c r="A715" s="13">
        <v>62914</v>
      </c>
      <c r="B715" s="8">
        <f>CHOOSE( CONTROL!$C$32, 19.9026, 19.9015) * CHOOSE(CONTROL!$C$15, $D$11, 100%, $F$11)</f>
        <v>19.9026</v>
      </c>
      <c r="C715" s="8">
        <f>CHOOSE( CONTROL!$C$32, 19.9077, 19.9066) * CHOOSE(CONTROL!$C$15, $D$11, 100%, $F$11)</f>
        <v>19.907699999999998</v>
      </c>
      <c r="D715" s="8">
        <f>CHOOSE( CONTROL!$C$32, 19.8856, 19.8846) * CHOOSE( CONTROL!$C$15, $D$11, 100%, $F$11)</f>
        <v>19.8856</v>
      </c>
      <c r="E715" s="12">
        <f>CHOOSE( CONTROL!$C$32, 19.8931, 19.8921) * CHOOSE( CONTROL!$C$15, $D$11, 100%, $F$11)</f>
        <v>19.8931</v>
      </c>
      <c r="F715" s="4">
        <f>CHOOSE( CONTROL!$C$32, 20.5679, 20.5668) * CHOOSE(CONTROL!$C$15, $D$11, 100%, $F$11)</f>
        <v>20.567900000000002</v>
      </c>
      <c r="G715" s="8">
        <f>CHOOSE( CONTROL!$C$32, 19.6711, 19.67) * CHOOSE( CONTROL!$C$15, $D$11, 100%, $F$11)</f>
        <v>19.671099999999999</v>
      </c>
      <c r="H715" s="4">
        <f>CHOOSE( CONTROL!$C$32, 20.5737, 20.5726) * CHOOSE(CONTROL!$C$15, $D$11, 100%, $F$11)</f>
        <v>20.573699999999999</v>
      </c>
      <c r="I715" s="8">
        <f>CHOOSE( CONTROL!$C$32, 19.4613, 19.4603) * CHOOSE(CONTROL!$C$15, $D$11, 100%, $F$11)</f>
        <v>19.461300000000001</v>
      </c>
      <c r="J715" s="4">
        <f>CHOOSE( CONTROL!$C$32, 19.3067, 19.3057) * CHOOSE(CONTROL!$C$15, $D$11, 100%, $F$11)</f>
        <v>19.306699999999999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62944</v>
      </c>
      <c r="B716" s="8">
        <f>CHOOSE( CONTROL!$C$32, 20.2057, 20.2046) * CHOOSE(CONTROL!$C$15, $D$11, 100%, $F$11)</f>
        <v>20.2057</v>
      </c>
      <c r="C716" s="8">
        <f>CHOOSE( CONTROL!$C$32, 20.2102, 20.2092) * CHOOSE(CONTROL!$C$15, $D$11, 100%, $F$11)</f>
        <v>20.2102</v>
      </c>
      <c r="D716" s="8">
        <f>CHOOSE( CONTROL!$C$32, 20.2131, 20.212) * CHOOSE( CONTROL!$C$15, $D$11, 100%, $F$11)</f>
        <v>20.213100000000001</v>
      </c>
      <c r="E716" s="12">
        <f>CHOOSE( CONTROL!$C$32, 20.2116, 20.2106) * CHOOSE( CONTROL!$C$15, $D$11, 100%, $F$11)</f>
        <v>20.211600000000001</v>
      </c>
      <c r="F716" s="4">
        <f>CHOOSE( CONTROL!$C$32, 20.914, 20.913) * CHOOSE(CONTROL!$C$15, $D$11, 100%, $F$11)</f>
        <v>20.914000000000001</v>
      </c>
      <c r="G716" s="8">
        <f>CHOOSE( CONTROL!$C$32, 19.9804, 19.9793) * CHOOSE( CONTROL!$C$15, $D$11, 100%, $F$11)</f>
        <v>19.980399999999999</v>
      </c>
      <c r="H716" s="4">
        <f>CHOOSE( CONTROL!$C$32, 20.9158, 20.9147) * CHOOSE(CONTROL!$C$15, $D$11, 100%, $F$11)</f>
        <v>20.915800000000001</v>
      </c>
      <c r="I716" s="8">
        <f>CHOOSE( CONTROL!$C$32, 19.7272, 19.7261) * CHOOSE(CONTROL!$C$15, $D$11, 100%, $F$11)</f>
        <v>19.7272</v>
      </c>
      <c r="J716" s="4">
        <f>CHOOSE( CONTROL!$C$32, 19.6002, 19.5991) * CHOOSE(CONTROL!$C$15, $D$11, 100%, $F$11)</f>
        <v>19.600200000000001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1.2509999999999999</v>
      </c>
      <c r="Q716" s="9">
        <v>19.053000000000001</v>
      </c>
      <c r="R716" s="9"/>
      <c r="S716" s="11"/>
    </row>
    <row r="717" spans="1:19" ht="15.75">
      <c r="A717" s="13">
        <v>62975</v>
      </c>
      <c r="B717" s="8">
        <f>CHOOSE( CONTROL!$C$32, 20.7458, 20.7441) * CHOOSE(CONTROL!$C$15, $D$11, 100%, $F$11)</f>
        <v>20.745799999999999</v>
      </c>
      <c r="C717" s="8">
        <f>CHOOSE( CONTROL!$C$32, 20.7537, 20.7521) * CHOOSE(CONTROL!$C$15, $D$11, 100%, $F$11)</f>
        <v>20.753699999999998</v>
      </c>
      <c r="D717" s="8">
        <f>CHOOSE( CONTROL!$C$32, 20.7505, 20.7488) * CHOOSE( CONTROL!$C$15, $D$11, 100%, $F$11)</f>
        <v>20.750499999999999</v>
      </c>
      <c r="E717" s="12">
        <f>CHOOSE( CONTROL!$C$32, 20.7505, 20.7488) * CHOOSE( CONTROL!$C$15, $D$11, 100%, $F$11)</f>
        <v>20.750499999999999</v>
      </c>
      <c r="F717" s="4">
        <f>CHOOSE( CONTROL!$C$32, 21.4527, 21.4511) * CHOOSE(CONTROL!$C$15, $D$11, 100%, $F$11)</f>
        <v>21.4527</v>
      </c>
      <c r="G717" s="8">
        <f>CHOOSE( CONTROL!$C$32, 20.5126, 20.511) * CHOOSE( CONTROL!$C$15, $D$11, 100%, $F$11)</f>
        <v>20.512599999999999</v>
      </c>
      <c r="H717" s="4">
        <f>CHOOSE( CONTROL!$C$32, 21.4481, 21.4465) * CHOOSE(CONTROL!$C$15, $D$11, 100%, $F$11)</f>
        <v>21.4481</v>
      </c>
      <c r="I717" s="8">
        <f>CHOOSE( CONTROL!$C$32, 20.2495, 20.2479) * CHOOSE(CONTROL!$C$15, $D$11, 100%, $F$11)</f>
        <v>20.249500000000001</v>
      </c>
      <c r="J717" s="4">
        <f>CHOOSE( CONTROL!$C$32, 20.123, 20.1213) * CHOOSE(CONTROL!$C$15, $D$11, 100%, $F$11)</f>
        <v>20.123000000000001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1.2927</v>
      </c>
      <c r="Q717" s="9">
        <v>19.688099999999999</v>
      </c>
      <c r="R717" s="9"/>
      <c r="S717" s="11"/>
    </row>
    <row r="718" spans="1:19" ht="15.75">
      <c r="A718" s="13">
        <v>63005</v>
      </c>
      <c r="B718" s="8">
        <f>CHOOSE( CONTROL!$C$32, 20.4124, 20.4108) * CHOOSE(CONTROL!$C$15, $D$11, 100%, $F$11)</f>
        <v>20.412400000000002</v>
      </c>
      <c r="C718" s="8">
        <f>CHOOSE( CONTROL!$C$32, 20.4204, 20.4188) * CHOOSE(CONTROL!$C$15, $D$11, 100%, $F$11)</f>
        <v>20.420400000000001</v>
      </c>
      <c r="D718" s="8">
        <f>CHOOSE( CONTROL!$C$32, 20.4174, 20.4157) * CHOOSE( CONTROL!$C$15, $D$11, 100%, $F$11)</f>
        <v>20.417400000000001</v>
      </c>
      <c r="E718" s="12">
        <f>CHOOSE( CONTROL!$C$32, 20.4173, 20.4156) * CHOOSE( CONTROL!$C$15, $D$11, 100%, $F$11)</f>
        <v>20.417300000000001</v>
      </c>
      <c r="F718" s="4">
        <f>CHOOSE( CONTROL!$C$32, 21.1194, 21.1177) * CHOOSE(CONTROL!$C$15, $D$11, 100%, $F$11)</f>
        <v>21.119399999999999</v>
      </c>
      <c r="G718" s="8">
        <f>CHOOSE( CONTROL!$C$32, 20.1834, 20.1817) * CHOOSE( CONTROL!$C$15, $D$11, 100%, $F$11)</f>
        <v>20.183399999999999</v>
      </c>
      <c r="H718" s="4">
        <f>CHOOSE( CONTROL!$C$32, 21.1187, 21.1171) * CHOOSE(CONTROL!$C$15, $D$11, 100%, $F$11)</f>
        <v>21.1187</v>
      </c>
      <c r="I718" s="8">
        <f>CHOOSE( CONTROL!$C$32, 19.9266, 19.925) * CHOOSE(CONTROL!$C$15, $D$11, 100%, $F$11)</f>
        <v>19.926600000000001</v>
      </c>
      <c r="J718" s="4">
        <f>CHOOSE( CONTROL!$C$32, 19.7994, 19.7978) * CHOOSE(CONTROL!$C$15, $D$11, 100%, $F$11)</f>
        <v>19.799399999999999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1.2509999999999999</v>
      </c>
      <c r="Q718" s="9">
        <v>19.053000000000001</v>
      </c>
      <c r="R718" s="9"/>
      <c r="S718" s="11"/>
    </row>
    <row r="719" spans="1:19" ht="15.75">
      <c r="A719" s="13">
        <v>63036</v>
      </c>
      <c r="B719" s="8">
        <f>CHOOSE( CONTROL!$C$32, 21.2902, 21.2886) * CHOOSE(CONTROL!$C$15, $D$11, 100%, $F$11)</f>
        <v>21.290199999999999</v>
      </c>
      <c r="C719" s="8">
        <f>CHOOSE( CONTROL!$C$32, 21.2982, 21.2966) * CHOOSE(CONTROL!$C$15, $D$11, 100%, $F$11)</f>
        <v>21.298200000000001</v>
      </c>
      <c r="D719" s="8">
        <f>CHOOSE( CONTROL!$C$32, 21.2954, 21.2938) * CHOOSE( CONTROL!$C$15, $D$11, 100%, $F$11)</f>
        <v>21.295400000000001</v>
      </c>
      <c r="E719" s="12">
        <f>CHOOSE( CONTROL!$C$32, 21.2952, 21.2936) * CHOOSE( CONTROL!$C$15, $D$11, 100%, $F$11)</f>
        <v>21.295200000000001</v>
      </c>
      <c r="F719" s="4">
        <f>CHOOSE( CONTROL!$C$32, 21.9972, 21.9955) * CHOOSE(CONTROL!$C$15, $D$11, 100%, $F$11)</f>
        <v>21.997199999999999</v>
      </c>
      <c r="G719" s="8">
        <f>CHOOSE( CONTROL!$C$32, 21.0511, 21.0495) * CHOOSE( CONTROL!$C$15, $D$11, 100%, $F$11)</f>
        <v>21.051100000000002</v>
      </c>
      <c r="H719" s="4">
        <f>CHOOSE( CONTROL!$C$32, 21.9862, 21.9846) * CHOOSE(CONTROL!$C$15, $D$11, 100%, $F$11)</f>
        <v>21.9862</v>
      </c>
      <c r="I719" s="8">
        <f>CHOOSE( CONTROL!$C$32, 20.7798, 20.7782) * CHOOSE(CONTROL!$C$15, $D$11, 100%, $F$11)</f>
        <v>20.779800000000002</v>
      </c>
      <c r="J719" s="4">
        <f>CHOOSE( CONTROL!$C$32, 20.6514, 20.6497) * CHOOSE(CONTROL!$C$15, $D$11, 100%, $F$11)</f>
        <v>20.651399999999999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1.2927</v>
      </c>
      <c r="Q719" s="9">
        <v>19.688099999999999</v>
      </c>
      <c r="R719" s="9"/>
      <c r="S719" s="11"/>
    </row>
    <row r="720" spans="1:19" ht="15.75">
      <c r="A720" s="13">
        <v>63067</v>
      </c>
      <c r="B720" s="8">
        <f>CHOOSE( CONTROL!$C$32, 19.6478, 19.6461) * CHOOSE(CONTROL!$C$15, $D$11, 100%, $F$11)</f>
        <v>19.6478</v>
      </c>
      <c r="C720" s="8">
        <f>CHOOSE( CONTROL!$C$32, 19.6558, 19.6541) * CHOOSE(CONTROL!$C$15, $D$11, 100%, $F$11)</f>
        <v>19.655799999999999</v>
      </c>
      <c r="D720" s="8">
        <f>CHOOSE( CONTROL!$C$32, 19.6531, 19.6514) * CHOOSE( CONTROL!$C$15, $D$11, 100%, $F$11)</f>
        <v>19.653099999999998</v>
      </c>
      <c r="E720" s="12">
        <f>CHOOSE( CONTROL!$C$32, 19.6529, 19.6512) * CHOOSE( CONTROL!$C$15, $D$11, 100%, $F$11)</f>
        <v>19.652899999999999</v>
      </c>
      <c r="F720" s="4">
        <f>CHOOSE( CONTROL!$C$32, 20.3547, 20.3531) * CHOOSE(CONTROL!$C$15, $D$11, 100%, $F$11)</f>
        <v>20.354700000000001</v>
      </c>
      <c r="G720" s="8">
        <f>CHOOSE( CONTROL!$C$32, 19.4279, 19.4263) * CHOOSE( CONTROL!$C$15, $D$11, 100%, $F$11)</f>
        <v>19.427900000000001</v>
      </c>
      <c r="H720" s="4">
        <f>CHOOSE( CONTROL!$C$32, 20.363, 20.3614) * CHOOSE(CONTROL!$C$15, $D$11, 100%, $F$11)</f>
        <v>20.363</v>
      </c>
      <c r="I720" s="8">
        <f>CHOOSE( CONTROL!$C$32, 19.1853, 19.1837) * CHOOSE(CONTROL!$C$15, $D$11, 100%, $F$11)</f>
        <v>19.185300000000002</v>
      </c>
      <c r="J720" s="4">
        <f>CHOOSE( CONTROL!$C$32, 19.0573, 19.0557) * CHOOSE(CONTROL!$C$15, $D$11, 100%, $F$11)</f>
        <v>19.057300000000001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1.2927</v>
      </c>
      <c r="Q720" s="9">
        <v>19.688099999999999</v>
      </c>
      <c r="R720" s="9"/>
      <c r="S720" s="11"/>
    </row>
    <row r="721" spans="1:19" ht="15.75">
      <c r="A721" s="13">
        <v>63097</v>
      </c>
      <c r="B721" s="8">
        <f>CHOOSE( CONTROL!$C$32, 19.2365, 19.2348) * CHOOSE(CONTROL!$C$15, $D$11, 100%, $F$11)</f>
        <v>19.236499999999999</v>
      </c>
      <c r="C721" s="8">
        <f>CHOOSE( CONTROL!$C$32, 19.2445, 19.2428) * CHOOSE(CONTROL!$C$15, $D$11, 100%, $F$11)</f>
        <v>19.244499999999999</v>
      </c>
      <c r="D721" s="8">
        <f>CHOOSE( CONTROL!$C$32, 19.2417, 19.2401) * CHOOSE( CONTROL!$C$15, $D$11, 100%, $F$11)</f>
        <v>19.241700000000002</v>
      </c>
      <c r="E721" s="12">
        <f>CHOOSE( CONTROL!$C$32, 19.2415, 19.2399) * CHOOSE( CONTROL!$C$15, $D$11, 100%, $F$11)</f>
        <v>19.241499999999998</v>
      </c>
      <c r="F721" s="4">
        <f>CHOOSE( CONTROL!$C$32, 19.9434, 19.9418) * CHOOSE(CONTROL!$C$15, $D$11, 100%, $F$11)</f>
        <v>19.9434</v>
      </c>
      <c r="G721" s="8">
        <f>CHOOSE( CONTROL!$C$32, 19.0214, 19.0198) * CHOOSE( CONTROL!$C$15, $D$11, 100%, $F$11)</f>
        <v>19.0214</v>
      </c>
      <c r="H721" s="4">
        <f>CHOOSE( CONTROL!$C$32, 19.9565, 19.9549) * CHOOSE(CONTROL!$C$15, $D$11, 100%, $F$11)</f>
        <v>19.956499999999998</v>
      </c>
      <c r="I721" s="8">
        <f>CHOOSE( CONTROL!$C$32, 18.7858, 18.7842) * CHOOSE(CONTROL!$C$15, $D$11, 100%, $F$11)</f>
        <v>18.785799999999998</v>
      </c>
      <c r="J721" s="4">
        <f>CHOOSE( CONTROL!$C$32, 18.6582, 18.6566) * CHOOSE(CONTROL!$C$15, $D$11, 100%, $F$11)</f>
        <v>18.658200000000001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1.2509999999999999</v>
      </c>
      <c r="Q721" s="9">
        <v>19.053000000000001</v>
      </c>
      <c r="R721" s="9"/>
      <c r="S721" s="11"/>
    </row>
    <row r="722" spans="1:19" ht="15.75">
      <c r="A722" s="13">
        <v>63128</v>
      </c>
      <c r="B722" s="8">
        <f>CHOOSE( CONTROL!$C$32, 20.0882, 20.0871) * CHOOSE(CONTROL!$C$15, $D$11, 100%, $F$11)</f>
        <v>20.088200000000001</v>
      </c>
      <c r="C722" s="8">
        <f>CHOOSE( CONTROL!$C$32, 20.0935, 20.0924) * CHOOSE(CONTROL!$C$15, $D$11, 100%, $F$11)</f>
        <v>20.093499999999999</v>
      </c>
      <c r="D722" s="8">
        <f>CHOOSE( CONTROL!$C$32, 20.0964, 20.0953) * CHOOSE( CONTROL!$C$15, $D$11, 100%, $F$11)</f>
        <v>20.096399999999999</v>
      </c>
      <c r="E722" s="12">
        <f>CHOOSE( CONTROL!$C$32, 20.0949, 20.0938) * CHOOSE( CONTROL!$C$15, $D$11, 100%, $F$11)</f>
        <v>20.094899999999999</v>
      </c>
      <c r="F722" s="4">
        <f>CHOOSE( CONTROL!$C$32, 20.7968, 20.7958) * CHOOSE(CONTROL!$C$15, $D$11, 100%, $F$11)</f>
        <v>20.796800000000001</v>
      </c>
      <c r="G722" s="8">
        <f>CHOOSE( CONTROL!$C$32, 19.865, 19.8639) * CHOOSE( CONTROL!$C$15, $D$11, 100%, $F$11)</f>
        <v>19.864999999999998</v>
      </c>
      <c r="H722" s="4">
        <f>CHOOSE( CONTROL!$C$32, 20.7999, 20.7989) * CHOOSE(CONTROL!$C$15, $D$11, 100%, $F$11)</f>
        <v>20.799900000000001</v>
      </c>
      <c r="I722" s="8">
        <f>CHOOSE( CONTROL!$C$32, 19.6152, 19.6142) * CHOOSE(CONTROL!$C$15, $D$11, 100%, $F$11)</f>
        <v>19.615200000000002</v>
      </c>
      <c r="J722" s="4">
        <f>CHOOSE( CONTROL!$C$32, 19.4864, 19.4854) * CHOOSE(CONTROL!$C$15, $D$11, 100%, $F$11)</f>
        <v>19.4864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1.2927</v>
      </c>
      <c r="Q722" s="9">
        <v>19.688099999999999</v>
      </c>
      <c r="R722" s="9"/>
      <c r="S722" s="11"/>
    </row>
    <row r="723" spans="1:19" ht="15.75">
      <c r="A723" s="13">
        <v>63158</v>
      </c>
      <c r="B723" s="8">
        <f>CHOOSE( CONTROL!$C$32, 21.664, 21.663) * CHOOSE(CONTROL!$C$15, $D$11, 100%, $F$11)</f>
        <v>21.664000000000001</v>
      </c>
      <c r="C723" s="8">
        <f>CHOOSE( CONTROL!$C$32, 21.6691, 21.668) * CHOOSE(CONTROL!$C$15, $D$11, 100%, $F$11)</f>
        <v>21.6691</v>
      </c>
      <c r="D723" s="8">
        <f>CHOOSE( CONTROL!$C$32, 21.6513, 21.6502) * CHOOSE( CONTROL!$C$15, $D$11, 100%, $F$11)</f>
        <v>21.651299999999999</v>
      </c>
      <c r="E723" s="12">
        <f>CHOOSE( CONTROL!$C$32, 21.6573, 21.6562) * CHOOSE( CONTROL!$C$15, $D$11, 100%, $F$11)</f>
        <v>21.657299999999999</v>
      </c>
      <c r="F723" s="4">
        <f>CHOOSE( CONTROL!$C$32, 22.3293, 22.3282) * CHOOSE(CONTROL!$C$15, $D$11, 100%, $F$11)</f>
        <v>22.3293</v>
      </c>
      <c r="G723" s="8">
        <f>CHOOSE( CONTROL!$C$32, 21.4219, 21.4208) * CHOOSE( CONTROL!$C$15, $D$11, 100%, $F$11)</f>
        <v>21.421900000000001</v>
      </c>
      <c r="H723" s="4">
        <f>CHOOSE( CONTROL!$C$32, 22.3145, 22.3134) * CHOOSE(CONTROL!$C$15, $D$11, 100%, $F$11)</f>
        <v>22.314499999999999</v>
      </c>
      <c r="I723" s="8">
        <f>CHOOSE( CONTROL!$C$32, 21.2075, 21.2065) * CHOOSE(CONTROL!$C$15, $D$11, 100%, $F$11)</f>
        <v>21.2075</v>
      </c>
      <c r="J723" s="4">
        <f>CHOOSE( CONTROL!$C$32, 21.0162, 21.0151) * CHOOSE(CONTROL!$C$15, $D$11, 100%, $F$11)</f>
        <v>21.016200000000001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63189</v>
      </c>
      <c r="B724" s="8">
        <f>CHOOSE( CONTROL!$C$32, 21.6247, 21.6236) * CHOOSE(CONTROL!$C$15, $D$11, 100%, $F$11)</f>
        <v>21.624700000000001</v>
      </c>
      <c r="C724" s="8">
        <f>CHOOSE( CONTROL!$C$32, 21.6297, 21.6287) * CHOOSE(CONTROL!$C$15, $D$11, 100%, $F$11)</f>
        <v>21.6297</v>
      </c>
      <c r="D724" s="8">
        <f>CHOOSE( CONTROL!$C$32, 21.6133, 21.6123) * CHOOSE( CONTROL!$C$15, $D$11, 100%, $F$11)</f>
        <v>21.613299999999999</v>
      </c>
      <c r="E724" s="12">
        <f>CHOOSE( CONTROL!$C$32, 21.6188, 21.6178) * CHOOSE( CONTROL!$C$15, $D$11, 100%, $F$11)</f>
        <v>21.6188</v>
      </c>
      <c r="F724" s="4">
        <f>CHOOSE( CONTROL!$C$32, 22.2899, 22.2889) * CHOOSE(CONTROL!$C$15, $D$11, 100%, $F$11)</f>
        <v>22.289899999999999</v>
      </c>
      <c r="G724" s="8">
        <f>CHOOSE( CONTROL!$C$32, 21.384, 21.383) * CHOOSE( CONTROL!$C$15, $D$11, 100%, $F$11)</f>
        <v>21.384</v>
      </c>
      <c r="H724" s="4">
        <f>CHOOSE( CONTROL!$C$32, 22.2756, 22.2745) * CHOOSE(CONTROL!$C$15, $D$11, 100%, $F$11)</f>
        <v>22.275600000000001</v>
      </c>
      <c r="I724" s="8">
        <f>CHOOSE( CONTROL!$C$32, 21.1738, 21.1727) * CHOOSE(CONTROL!$C$15, $D$11, 100%, $F$11)</f>
        <v>21.1738</v>
      </c>
      <c r="J724" s="4">
        <f>CHOOSE( CONTROL!$C$32, 20.978, 20.9769) * CHOOSE(CONTROL!$C$15, $D$11, 100%, $F$11)</f>
        <v>20.978000000000002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63220</v>
      </c>
      <c r="B725" s="8">
        <f>CHOOSE( CONTROL!$C$32, 22.2622, 22.2611) * CHOOSE(CONTROL!$C$15, $D$11, 100%, $F$11)</f>
        <v>22.2622</v>
      </c>
      <c r="C725" s="8">
        <f>CHOOSE( CONTROL!$C$32, 22.2673, 22.2662) * CHOOSE(CONTROL!$C$15, $D$11, 100%, $F$11)</f>
        <v>22.267299999999999</v>
      </c>
      <c r="D725" s="8">
        <f>CHOOSE( CONTROL!$C$32, 22.246, 22.2449) * CHOOSE( CONTROL!$C$15, $D$11, 100%, $F$11)</f>
        <v>22.245999999999999</v>
      </c>
      <c r="E725" s="12">
        <f>CHOOSE( CONTROL!$C$32, 22.2532, 22.2521) * CHOOSE( CONTROL!$C$15, $D$11, 100%, $F$11)</f>
        <v>22.2532</v>
      </c>
      <c r="F725" s="4">
        <f>CHOOSE( CONTROL!$C$32, 22.9275, 22.9264) * CHOOSE(CONTROL!$C$15, $D$11, 100%, $F$11)</f>
        <v>22.927499999999998</v>
      </c>
      <c r="G725" s="8">
        <f>CHOOSE( CONTROL!$C$32, 22.0036, 22.0026) * CHOOSE( CONTROL!$C$15, $D$11, 100%, $F$11)</f>
        <v>22.003599999999999</v>
      </c>
      <c r="H725" s="4">
        <f>CHOOSE( CONTROL!$C$32, 22.9056, 22.9046) * CHOOSE(CONTROL!$C$15, $D$11, 100%, $F$11)</f>
        <v>22.9056</v>
      </c>
      <c r="I725" s="8">
        <f>CHOOSE( CONTROL!$C$32, 21.7549, 21.7538) * CHOOSE(CONTROL!$C$15, $D$11, 100%, $F$11)</f>
        <v>21.754899999999999</v>
      </c>
      <c r="J725" s="4">
        <f>CHOOSE( CONTROL!$C$32, 21.5967, 21.5957) * CHOOSE(CONTROL!$C$15, $D$11, 100%, $F$11)</f>
        <v>21.596699999999998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63248</v>
      </c>
      <c r="B726" s="8">
        <f>CHOOSE( CONTROL!$C$32, 20.8237, 20.8226) * CHOOSE(CONTROL!$C$15, $D$11, 100%, $F$11)</f>
        <v>20.823699999999999</v>
      </c>
      <c r="C726" s="8">
        <f>CHOOSE( CONTROL!$C$32, 20.8287, 20.8277) * CHOOSE(CONTROL!$C$15, $D$11, 100%, $F$11)</f>
        <v>20.828700000000001</v>
      </c>
      <c r="D726" s="8">
        <f>CHOOSE( CONTROL!$C$32, 20.8073, 20.8062) * CHOOSE( CONTROL!$C$15, $D$11, 100%, $F$11)</f>
        <v>20.807300000000001</v>
      </c>
      <c r="E726" s="12">
        <f>CHOOSE( CONTROL!$C$32, 20.8146, 20.8135) * CHOOSE( CONTROL!$C$15, $D$11, 100%, $F$11)</f>
        <v>20.814599999999999</v>
      </c>
      <c r="F726" s="4">
        <f>CHOOSE( CONTROL!$C$32, 21.4889, 21.4879) * CHOOSE(CONTROL!$C$15, $D$11, 100%, $F$11)</f>
        <v>21.488900000000001</v>
      </c>
      <c r="G726" s="8">
        <f>CHOOSE( CONTROL!$C$32, 20.5818, 20.5808) * CHOOSE( CONTROL!$C$15, $D$11, 100%, $F$11)</f>
        <v>20.581800000000001</v>
      </c>
      <c r="H726" s="4">
        <f>CHOOSE( CONTROL!$C$32, 21.4839, 21.4829) * CHOOSE(CONTROL!$C$15, $D$11, 100%, $F$11)</f>
        <v>21.483899999999998</v>
      </c>
      <c r="I726" s="8">
        <f>CHOOSE( CONTROL!$C$32, 20.3576, 20.3566) * CHOOSE(CONTROL!$C$15, $D$11, 100%, $F$11)</f>
        <v>20.357600000000001</v>
      </c>
      <c r="J726" s="4">
        <f>CHOOSE( CONTROL!$C$32, 20.2006, 20.1996) * CHOOSE(CONTROL!$C$15, $D$11, 100%, $F$11)</f>
        <v>20.200600000000001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63279</v>
      </c>
      <c r="B727" s="8">
        <f>CHOOSE( CONTROL!$C$32, 20.3806, 20.3795) * CHOOSE(CONTROL!$C$15, $D$11, 100%, $F$11)</f>
        <v>20.380600000000001</v>
      </c>
      <c r="C727" s="8">
        <f>CHOOSE( CONTROL!$C$32, 20.3857, 20.3846) * CHOOSE(CONTROL!$C$15, $D$11, 100%, $F$11)</f>
        <v>20.3857</v>
      </c>
      <c r="D727" s="8">
        <f>CHOOSE( CONTROL!$C$32, 20.3636, 20.3625) * CHOOSE( CONTROL!$C$15, $D$11, 100%, $F$11)</f>
        <v>20.363600000000002</v>
      </c>
      <c r="E727" s="12">
        <f>CHOOSE( CONTROL!$C$32, 20.3711, 20.37) * CHOOSE( CONTROL!$C$15, $D$11, 100%, $F$11)</f>
        <v>20.371099999999998</v>
      </c>
      <c r="F727" s="4">
        <f>CHOOSE( CONTROL!$C$32, 21.0459, 21.0448) * CHOOSE(CONTROL!$C$15, $D$11, 100%, $F$11)</f>
        <v>21.0459</v>
      </c>
      <c r="G727" s="8">
        <f>CHOOSE( CONTROL!$C$32, 20.1435, 20.1424) * CHOOSE( CONTROL!$C$15, $D$11, 100%, $F$11)</f>
        <v>20.1435</v>
      </c>
      <c r="H727" s="4">
        <f>CHOOSE( CONTROL!$C$32, 21.046, 21.045) * CHOOSE(CONTROL!$C$15, $D$11, 100%, $F$11)</f>
        <v>21.045999999999999</v>
      </c>
      <c r="I727" s="8">
        <f>CHOOSE( CONTROL!$C$32, 19.9254, 19.9244) * CHOOSE(CONTROL!$C$15, $D$11, 100%, $F$11)</f>
        <v>19.9254</v>
      </c>
      <c r="J727" s="4">
        <f>CHOOSE( CONTROL!$C$32, 19.7706, 19.7696) * CHOOSE(CONTROL!$C$15, $D$11, 100%, $F$11)</f>
        <v>19.770600000000002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63309</v>
      </c>
      <c r="B728" s="8">
        <f>CHOOSE( CONTROL!$C$32, 20.691, 20.6899) * CHOOSE(CONTROL!$C$15, $D$11, 100%, $F$11)</f>
        <v>20.690999999999999</v>
      </c>
      <c r="C728" s="8">
        <f>CHOOSE( CONTROL!$C$32, 20.6955, 20.6944) * CHOOSE(CONTROL!$C$15, $D$11, 100%, $F$11)</f>
        <v>20.695499999999999</v>
      </c>
      <c r="D728" s="8">
        <f>CHOOSE( CONTROL!$C$32, 20.6983, 20.6972) * CHOOSE( CONTROL!$C$15, $D$11, 100%, $F$11)</f>
        <v>20.6983</v>
      </c>
      <c r="E728" s="12">
        <f>CHOOSE( CONTROL!$C$32, 20.6969, 20.6958) * CHOOSE( CONTROL!$C$15, $D$11, 100%, $F$11)</f>
        <v>20.696899999999999</v>
      </c>
      <c r="F728" s="4">
        <f>CHOOSE( CONTROL!$C$32, 21.3993, 21.3982) * CHOOSE(CONTROL!$C$15, $D$11, 100%, $F$11)</f>
        <v>21.3993</v>
      </c>
      <c r="G728" s="8">
        <f>CHOOSE( CONTROL!$C$32, 20.4599, 20.4589) * CHOOSE( CONTROL!$C$15, $D$11, 100%, $F$11)</f>
        <v>20.459900000000001</v>
      </c>
      <c r="H728" s="4">
        <f>CHOOSE( CONTROL!$C$32, 21.3953, 21.3942) * CHOOSE(CONTROL!$C$15, $D$11, 100%, $F$11)</f>
        <v>21.395299999999999</v>
      </c>
      <c r="I728" s="8">
        <f>CHOOSE( CONTROL!$C$32, 20.1983, 20.1973) * CHOOSE(CONTROL!$C$15, $D$11, 100%, $F$11)</f>
        <v>20.1983</v>
      </c>
      <c r="J728" s="4">
        <f>CHOOSE( CONTROL!$C$32, 20.0711, 20.07) * CHOOSE(CONTROL!$C$15, $D$11, 100%, $F$11)</f>
        <v>20.071100000000001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1.2509999999999999</v>
      </c>
      <c r="Q728" s="9">
        <v>19.053000000000001</v>
      </c>
      <c r="R728" s="9"/>
      <c r="S728" s="11"/>
    </row>
    <row r="729" spans="1:19" ht="15.75">
      <c r="A729" s="13">
        <v>63340</v>
      </c>
      <c r="B729" s="8">
        <f>CHOOSE( CONTROL!$C$32, 21.2439, 21.2423) * CHOOSE(CONTROL!$C$15, $D$11, 100%, $F$11)</f>
        <v>21.2439</v>
      </c>
      <c r="C729" s="8">
        <f>CHOOSE( CONTROL!$C$32, 21.2519, 21.2503) * CHOOSE(CONTROL!$C$15, $D$11, 100%, $F$11)</f>
        <v>21.251899999999999</v>
      </c>
      <c r="D729" s="8">
        <f>CHOOSE( CONTROL!$C$32, 21.2486, 21.247) * CHOOSE( CONTROL!$C$15, $D$11, 100%, $F$11)</f>
        <v>21.2486</v>
      </c>
      <c r="E729" s="12">
        <f>CHOOSE( CONTROL!$C$32, 21.2486, 21.247) * CHOOSE( CONTROL!$C$15, $D$11, 100%, $F$11)</f>
        <v>21.2486</v>
      </c>
      <c r="F729" s="4">
        <f>CHOOSE( CONTROL!$C$32, 21.9509, 21.9492) * CHOOSE(CONTROL!$C$15, $D$11, 100%, $F$11)</f>
        <v>21.950900000000001</v>
      </c>
      <c r="G729" s="8">
        <f>CHOOSE( CONTROL!$C$32, 21.005, 21.0033) * CHOOSE( CONTROL!$C$15, $D$11, 100%, $F$11)</f>
        <v>21.004999999999999</v>
      </c>
      <c r="H729" s="4">
        <f>CHOOSE( CONTROL!$C$32, 21.9405, 21.9388) * CHOOSE(CONTROL!$C$15, $D$11, 100%, $F$11)</f>
        <v>21.9405</v>
      </c>
      <c r="I729" s="8">
        <f>CHOOSE( CONTROL!$C$32, 20.7332, 20.7316) * CHOOSE(CONTROL!$C$15, $D$11, 100%, $F$11)</f>
        <v>20.7332</v>
      </c>
      <c r="J729" s="4">
        <f>CHOOSE( CONTROL!$C$32, 20.6064, 20.6048) * CHOOSE(CONTROL!$C$15, $D$11, 100%, $F$11)</f>
        <v>20.606400000000001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1.2927</v>
      </c>
      <c r="Q729" s="9">
        <v>19.688099999999999</v>
      </c>
      <c r="R729" s="9"/>
      <c r="S729" s="11"/>
    </row>
    <row r="730" spans="1:19" ht="15.75">
      <c r="A730" s="13">
        <v>63370</v>
      </c>
      <c r="B730" s="8">
        <f>CHOOSE( CONTROL!$C$32, 20.9026, 20.9009) * CHOOSE(CONTROL!$C$15, $D$11, 100%, $F$11)</f>
        <v>20.9026</v>
      </c>
      <c r="C730" s="8">
        <f>CHOOSE( CONTROL!$C$32, 20.9106, 20.9089) * CHOOSE(CONTROL!$C$15, $D$11, 100%, $F$11)</f>
        <v>20.910599999999999</v>
      </c>
      <c r="D730" s="8">
        <f>CHOOSE( CONTROL!$C$32, 20.9075, 20.9059) * CHOOSE( CONTROL!$C$15, $D$11, 100%, $F$11)</f>
        <v>20.907499999999999</v>
      </c>
      <c r="E730" s="12">
        <f>CHOOSE( CONTROL!$C$32, 20.9074, 20.9058) * CHOOSE( CONTROL!$C$15, $D$11, 100%, $F$11)</f>
        <v>20.907399999999999</v>
      </c>
      <c r="F730" s="4">
        <f>CHOOSE( CONTROL!$C$32, 21.6095, 21.6079) * CHOOSE(CONTROL!$C$15, $D$11, 100%, $F$11)</f>
        <v>21.609500000000001</v>
      </c>
      <c r="G730" s="8">
        <f>CHOOSE( CONTROL!$C$32, 20.6678, 20.6661) * CHOOSE( CONTROL!$C$15, $D$11, 100%, $F$11)</f>
        <v>20.6678</v>
      </c>
      <c r="H730" s="4">
        <f>CHOOSE( CONTROL!$C$32, 21.6031, 21.6015) * CHOOSE(CONTROL!$C$15, $D$11, 100%, $F$11)</f>
        <v>21.603100000000001</v>
      </c>
      <c r="I730" s="8">
        <f>CHOOSE( CONTROL!$C$32, 20.4025, 20.4009) * CHOOSE(CONTROL!$C$15, $D$11, 100%, $F$11)</f>
        <v>20.4025</v>
      </c>
      <c r="J730" s="4">
        <f>CHOOSE( CONTROL!$C$32, 20.2751, 20.2735) * CHOOSE(CONTROL!$C$15, $D$11, 100%, $F$11)</f>
        <v>20.275099999999998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1.2509999999999999</v>
      </c>
      <c r="Q730" s="9">
        <v>19.053000000000001</v>
      </c>
      <c r="R730" s="9"/>
      <c r="S730" s="11"/>
    </row>
    <row r="731" spans="1:19" ht="15.75">
      <c r="A731" s="13">
        <v>63401</v>
      </c>
      <c r="B731" s="8">
        <f>CHOOSE( CONTROL!$C$32, 21.8015, 21.7998) * CHOOSE(CONTROL!$C$15, $D$11, 100%, $F$11)</f>
        <v>21.801500000000001</v>
      </c>
      <c r="C731" s="8">
        <f>CHOOSE( CONTROL!$C$32, 21.8095, 21.8078) * CHOOSE(CONTROL!$C$15, $D$11, 100%, $F$11)</f>
        <v>21.8095</v>
      </c>
      <c r="D731" s="8">
        <f>CHOOSE( CONTROL!$C$32, 21.8067, 21.805) * CHOOSE( CONTROL!$C$15, $D$11, 100%, $F$11)</f>
        <v>21.806699999999999</v>
      </c>
      <c r="E731" s="12">
        <f>CHOOSE( CONTROL!$C$32, 21.8065, 21.8048) * CHOOSE( CONTROL!$C$15, $D$11, 100%, $F$11)</f>
        <v>21.8065</v>
      </c>
      <c r="F731" s="4">
        <f>CHOOSE( CONTROL!$C$32, 22.5084, 22.5068) * CHOOSE(CONTROL!$C$15, $D$11, 100%, $F$11)</f>
        <v>22.508400000000002</v>
      </c>
      <c r="G731" s="8">
        <f>CHOOSE( CONTROL!$C$32, 21.5563, 21.5547) * CHOOSE( CONTROL!$C$15, $D$11, 100%, $F$11)</f>
        <v>21.5563</v>
      </c>
      <c r="H731" s="4">
        <f>CHOOSE( CONTROL!$C$32, 22.4915, 22.4898) * CHOOSE(CONTROL!$C$15, $D$11, 100%, $F$11)</f>
        <v>22.491499999999998</v>
      </c>
      <c r="I731" s="8">
        <f>CHOOSE( CONTROL!$C$32, 21.2762, 21.2746) * CHOOSE(CONTROL!$C$15, $D$11, 100%, $F$11)</f>
        <v>21.276199999999999</v>
      </c>
      <c r="J731" s="4">
        <f>CHOOSE( CONTROL!$C$32, 21.1475, 21.1459) * CHOOSE(CONTROL!$C$15, $D$11, 100%, $F$11)</f>
        <v>21.147500000000001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1.2927</v>
      </c>
      <c r="Q731" s="9">
        <v>19.688099999999999</v>
      </c>
      <c r="R731" s="9"/>
      <c r="S731" s="11"/>
    </row>
    <row r="732" spans="1:19" ht="15.75">
      <c r="A732" s="13">
        <v>63432</v>
      </c>
      <c r="B732" s="8">
        <f>CHOOSE( CONTROL!$C$32, 20.1196, 20.1179) * CHOOSE(CONTROL!$C$15, $D$11, 100%, $F$11)</f>
        <v>20.119599999999998</v>
      </c>
      <c r="C732" s="8">
        <f>CHOOSE( CONTROL!$C$32, 20.1275, 20.1259) * CHOOSE(CONTROL!$C$15, $D$11, 100%, $F$11)</f>
        <v>20.127500000000001</v>
      </c>
      <c r="D732" s="8">
        <f>CHOOSE( CONTROL!$C$32, 20.1248, 20.1232) * CHOOSE( CONTROL!$C$15, $D$11, 100%, $F$11)</f>
        <v>20.1248</v>
      </c>
      <c r="E732" s="12">
        <f>CHOOSE( CONTROL!$C$32, 20.1246, 20.123) * CHOOSE( CONTROL!$C$15, $D$11, 100%, $F$11)</f>
        <v>20.124600000000001</v>
      </c>
      <c r="F732" s="4">
        <f>CHOOSE( CONTROL!$C$32, 20.8265, 20.8248) * CHOOSE(CONTROL!$C$15, $D$11, 100%, $F$11)</f>
        <v>20.826499999999999</v>
      </c>
      <c r="G732" s="8">
        <f>CHOOSE( CONTROL!$C$32, 19.8942, 19.8926) * CHOOSE( CONTROL!$C$15, $D$11, 100%, $F$11)</f>
        <v>19.894200000000001</v>
      </c>
      <c r="H732" s="4">
        <f>CHOOSE( CONTROL!$C$32, 20.8292, 20.8276) * CHOOSE(CONTROL!$C$15, $D$11, 100%, $F$11)</f>
        <v>20.8292</v>
      </c>
      <c r="I732" s="8">
        <f>CHOOSE( CONTROL!$C$32, 19.6434, 19.6418) * CHOOSE(CONTROL!$C$15, $D$11, 100%, $F$11)</f>
        <v>19.6434</v>
      </c>
      <c r="J732" s="4">
        <f>CHOOSE( CONTROL!$C$32, 19.5152, 19.5136) * CHOOSE(CONTROL!$C$15, $D$11, 100%, $F$11)</f>
        <v>19.5152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1.2927</v>
      </c>
      <c r="Q732" s="9">
        <v>19.688099999999999</v>
      </c>
      <c r="R732" s="9"/>
      <c r="S732" s="11"/>
    </row>
    <row r="733" spans="1:19" ht="15.75">
      <c r="A733" s="13">
        <v>63462</v>
      </c>
      <c r="B733" s="8">
        <f>CHOOSE( CONTROL!$C$32, 19.6984, 19.6967) * CHOOSE(CONTROL!$C$15, $D$11, 100%, $F$11)</f>
        <v>19.698399999999999</v>
      </c>
      <c r="C733" s="8">
        <f>CHOOSE( CONTROL!$C$32, 19.7064, 19.7047) * CHOOSE(CONTROL!$C$15, $D$11, 100%, $F$11)</f>
        <v>19.706399999999999</v>
      </c>
      <c r="D733" s="8">
        <f>CHOOSE( CONTROL!$C$32, 19.7036, 19.702) * CHOOSE( CONTROL!$C$15, $D$11, 100%, $F$11)</f>
        <v>19.703600000000002</v>
      </c>
      <c r="E733" s="12">
        <f>CHOOSE( CONTROL!$C$32, 19.7034, 19.7018) * CHOOSE( CONTROL!$C$15, $D$11, 100%, $F$11)</f>
        <v>19.703399999999998</v>
      </c>
      <c r="F733" s="4">
        <f>CHOOSE( CONTROL!$C$32, 20.4053, 20.4037) * CHOOSE(CONTROL!$C$15, $D$11, 100%, $F$11)</f>
        <v>20.4053</v>
      </c>
      <c r="G733" s="8">
        <f>CHOOSE( CONTROL!$C$32, 19.4779, 19.4763) * CHOOSE( CONTROL!$C$15, $D$11, 100%, $F$11)</f>
        <v>19.477900000000002</v>
      </c>
      <c r="H733" s="4">
        <f>CHOOSE( CONTROL!$C$32, 20.413, 20.4114) * CHOOSE(CONTROL!$C$15, $D$11, 100%, $F$11)</f>
        <v>20.413</v>
      </c>
      <c r="I733" s="8">
        <f>CHOOSE( CONTROL!$C$32, 19.2343, 19.2327) * CHOOSE(CONTROL!$C$15, $D$11, 100%, $F$11)</f>
        <v>19.234300000000001</v>
      </c>
      <c r="J733" s="4">
        <f>CHOOSE( CONTROL!$C$32, 19.1065, 19.1048) * CHOOSE(CONTROL!$C$15, $D$11, 100%, $F$11)</f>
        <v>19.1065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1.2509999999999999</v>
      </c>
      <c r="Q733" s="9">
        <v>19.053000000000001</v>
      </c>
      <c r="R733" s="9"/>
      <c r="S733" s="11"/>
    </row>
    <row r="734" spans="1:19" ht="15.75">
      <c r="A734" s="13">
        <v>63493</v>
      </c>
      <c r="B734" s="8">
        <f>CHOOSE( CONTROL!$C$32, 20.5706, 20.5695) * CHOOSE(CONTROL!$C$15, $D$11, 100%, $F$11)</f>
        <v>20.570599999999999</v>
      </c>
      <c r="C734" s="8">
        <f>CHOOSE( CONTROL!$C$32, 20.5759, 20.5748) * CHOOSE(CONTROL!$C$15, $D$11, 100%, $F$11)</f>
        <v>20.575900000000001</v>
      </c>
      <c r="D734" s="8">
        <f>CHOOSE( CONTROL!$C$32, 20.5788, 20.5777) * CHOOSE( CONTROL!$C$15, $D$11, 100%, $F$11)</f>
        <v>20.578800000000001</v>
      </c>
      <c r="E734" s="12">
        <f>CHOOSE( CONTROL!$C$32, 20.5773, 20.5762) * CHOOSE( CONTROL!$C$15, $D$11, 100%, $F$11)</f>
        <v>20.577300000000001</v>
      </c>
      <c r="F734" s="4">
        <f>CHOOSE( CONTROL!$C$32, 21.2792, 21.2782) * CHOOSE(CONTROL!$C$15, $D$11, 100%, $F$11)</f>
        <v>21.279199999999999</v>
      </c>
      <c r="G734" s="8">
        <f>CHOOSE( CONTROL!$C$32, 20.3418, 20.3407) * CHOOSE( CONTROL!$C$15, $D$11, 100%, $F$11)</f>
        <v>20.341799999999999</v>
      </c>
      <c r="H734" s="4">
        <f>CHOOSE( CONTROL!$C$32, 21.2767, 21.2756) * CHOOSE(CONTROL!$C$15, $D$11, 100%, $F$11)</f>
        <v>21.276700000000002</v>
      </c>
      <c r="I734" s="8">
        <f>CHOOSE( CONTROL!$C$32, 20.0837, 20.0826) * CHOOSE(CONTROL!$C$15, $D$11, 100%, $F$11)</f>
        <v>20.0837</v>
      </c>
      <c r="J734" s="4">
        <f>CHOOSE( CONTROL!$C$32, 19.9546, 19.9536) * CHOOSE(CONTROL!$C$15, $D$11, 100%, $F$11)</f>
        <v>19.954599999999999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1.2927</v>
      </c>
      <c r="Q734" s="9">
        <v>19.688099999999999</v>
      </c>
      <c r="R734" s="9"/>
      <c r="S734" s="11"/>
    </row>
    <row r="735" spans="1:19" ht="15.75">
      <c r="A735" s="13">
        <v>63523</v>
      </c>
      <c r="B735" s="8">
        <f>CHOOSE( CONTROL!$C$32, 22.1843, 22.1832) * CHOOSE(CONTROL!$C$15, $D$11, 100%, $F$11)</f>
        <v>22.1843</v>
      </c>
      <c r="C735" s="8">
        <f>CHOOSE( CONTROL!$C$32, 22.1894, 22.1883) * CHOOSE(CONTROL!$C$15, $D$11, 100%, $F$11)</f>
        <v>22.189399999999999</v>
      </c>
      <c r="D735" s="8">
        <f>CHOOSE( CONTROL!$C$32, 22.1716, 22.1705) * CHOOSE( CONTROL!$C$15, $D$11, 100%, $F$11)</f>
        <v>22.171600000000002</v>
      </c>
      <c r="E735" s="12">
        <f>CHOOSE( CONTROL!$C$32, 22.1776, 22.1765) * CHOOSE( CONTROL!$C$15, $D$11, 100%, $F$11)</f>
        <v>22.177600000000002</v>
      </c>
      <c r="F735" s="4">
        <f>CHOOSE( CONTROL!$C$32, 22.8496, 22.8485) * CHOOSE(CONTROL!$C$15, $D$11, 100%, $F$11)</f>
        <v>22.849599999999999</v>
      </c>
      <c r="G735" s="8">
        <f>CHOOSE( CONTROL!$C$32, 21.9361, 21.935) * CHOOSE( CONTROL!$C$15, $D$11, 100%, $F$11)</f>
        <v>21.9361</v>
      </c>
      <c r="H735" s="4">
        <f>CHOOSE( CONTROL!$C$32, 22.8287, 22.8276) * CHOOSE(CONTROL!$C$15, $D$11, 100%, $F$11)</f>
        <v>22.828700000000001</v>
      </c>
      <c r="I735" s="8">
        <f>CHOOSE( CONTROL!$C$32, 21.7127, 21.7117) * CHOOSE(CONTROL!$C$15, $D$11, 100%, $F$11)</f>
        <v>21.712700000000002</v>
      </c>
      <c r="J735" s="4">
        <f>CHOOSE( CONTROL!$C$32, 21.5211, 21.5201) * CHOOSE(CONTROL!$C$15, $D$11, 100%, $F$11)</f>
        <v>21.521100000000001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63554</v>
      </c>
      <c r="B736" s="8">
        <f>CHOOSE( CONTROL!$C$32, 22.144, 22.1429) * CHOOSE(CONTROL!$C$15, $D$11, 100%, $F$11)</f>
        <v>22.143999999999998</v>
      </c>
      <c r="C736" s="8">
        <f>CHOOSE( CONTROL!$C$32, 22.1491, 22.148) * CHOOSE(CONTROL!$C$15, $D$11, 100%, $F$11)</f>
        <v>22.149100000000001</v>
      </c>
      <c r="D736" s="8">
        <f>CHOOSE( CONTROL!$C$32, 22.1327, 22.1316) * CHOOSE( CONTROL!$C$15, $D$11, 100%, $F$11)</f>
        <v>22.1327</v>
      </c>
      <c r="E736" s="12">
        <f>CHOOSE( CONTROL!$C$32, 22.1382, 22.1371) * CHOOSE( CONTROL!$C$15, $D$11, 100%, $F$11)</f>
        <v>22.138200000000001</v>
      </c>
      <c r="F736" s="4">
        <f>CHOOSE( CONTROL!$C$32, 22.8093, 22.8082) * CHOOSE(CONTROL!$C$15, $D$11, 100%, $F$11)</f>
        <v>22.8093</v>
      </c>
      <c r="G736" s="8">
        <f>CHOOSE( CONTROL!$C$32, 21.8973, 21.8962) * CHOOSE( CONTROL!$C$15, $D$11, 100%, $F$11)</f>
        <v>21.897300000000001</v>
      </c>
      <c r="H736" s="4">
        <f>CHOOSE( CONTROL!$C$32, 22.7888, 22.7877) * CHOOSE(CONTROL!$C$15, $D$11, 100%, $F$11)</f>
        <v>22.788799999999998</v>
      </c>
      <c r="I736" s="8">
        <f>CHOOSE( CONTROL!$C$32, 21.678, 21.677) * CHOOSE(CONTROL!$C$15, $D$11, 100%, $F$11)</f>
        <v>21.678000000000001</v>
      </c>
      <c r="J736" s="4">
        <f>CHOOSE( CONTROL!$C$32, 21.482, 21.481) * CHOOSE(CONTROL!$C$15, $D$11, 100%, $F$11)</f>
        <v>21.481999999999999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63585</v>
      </c>
      <c r="B737" s="8">
        <f>CHOOSE( CONTROL!$C$32, 22.7969, 22.7958) * CHOOSE(CONTROL!$C$15, $D$11, 100%, $F$11)</f>
        <v>22.796900000000001</v>
      </c>
      <c r="C737" s="8">
        <f>CHOOSE( CONTROL!$C$32, 22.802, 22.8009) * CHOOSE(CONTROL!$C$15, $D$11, 100%, $F$11)</f>
        <v>22.802</v>
      </c>
      <c r="D737" s="8">
        <f>CHOOSE( CONTROL!$C$32, 22.7807, 22.7796) * CHOOSE( CONTROL!$C$15, $D$11, 100%, $F$11)</f>
        <v>22.7807</v>
      </c>
      <c r="E737" s="12">
        <f>CHOOSE( CONTROL!$C$32, 22.7879, 22.7868) * CHOOSE( CONTROL!$C$15, $D$11, 100%, $F$11)</f>
        <v>22.7879</v>
      </c>
      <c r="F737" s="4">
        <f>CHOOSE( CONTROL!$C$32, 23.4622, 23.4611) * CHOOSE(CONTROL!$C$15, $D$11, 100%, $F$11)</f>
        <v>23.462199999999999</v>
      </c>
      <c r="G737" s="8">
        <f>CHOOSE( CONTROL!$C$32, 22.532, 22.531) * CHOOSE( CONTROL!$C$15, $D$11, 100%, $F$11)</f>
        <v>22.532</v>
      </c>
      <c r="H737" s="4">
        <f>CHOOSE( CONTROL!$C$32, 23.434, 23.433) * CHOOSE(CONTROL!$C$15, $D$11, 100%, $F$11)</f>
        <v>23.434000000000001</v>
      </c>
      <c r="I737" s="8">
        <f>CHOOSE( CONTROL!$C$32, 22.274, 22.273) * CHOOSE(CONTROL!$C$15, $D$11, 100%, $F$11)</f>
        <v>22.274000000000001</v>
      </c>
      <c r="J737" s="4">
        <f>CHOOSE( CONTROL!$C$32, 22.1156, 22.1146) * CHOOSE(CONTROL!$C$15, $D$11, 100%, $F$11)</f>
        <v>22.115600000000001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63613</v>
      </c>
      <c r="B738" s="8">
        <f>CHOOSE( CONTROL!$C$32, 21.3238, 21.3227) * CHOOSE(CONTROL!$C$15, $D$11, 100%, $F$11)</f>
        <v>21.323799999999999</v>
      </c>
      <c r="C738" s="8">
        <f>CHOOSE( CONTROL!$C$32, 21.3288, 21.3277) * CHOOSE(CONTROL!$C$15, $D$11, 100%, $F$11)</f>
        <v>21.328800000000001</v>
      </c>
      <c r="D738" s="8">
        <f>CHOOSE( CONTROL!$C$32, 21.3074, 21.3063) * CHOOSE( CONTROL!$C$15, $D$11, 100%, $F$11)</f>
        <v>21.307400000000001</v>
      </c>
      <c r="E738" s="12">
        <f>CHOOSE( CONTROL!$C$32, 21.3147, 21.3136) * CHOOSE( CONTROL!$C$15, $D$11, 100%, $F$11)</f>
        <v>21.314699999999998</v>
      </c>
      <c r="F738" s="4">
        <f>CHOOSE( CONTROL!$C$32, 21.989, 21.988) * CHOOSE(CONTROL!$C$15, $D$11, 100%, $F$11)</f>
        <v>21.989000000000001</v>
      </c>
      <c r="G738" s="8">
        <f>CHOOSE( CONTROL!$C$32, 21.0761, 21.075) * CHOOSE( CONTROL!$C$15, $D$11, 100%, $F$11)</f>
        <v>21.0761</v>
      </c>
      <c r="H738" s="4">
        <f>CHOOSE( CONTROL!$C$32, 21.9782, 21.9771) * CHOOSE(CONTROL!$C$15, $D$11, 100%, $F$11)</f>
        <v>21.978200000000001</v>
      </c>
      <c r="I738" s="8">
        <f>CHOOSE( CONTROL!$C$32, 20.8432, 20.8422) * CHOOSE(CONTROL!$C$15, $D$11, 100%, $F$11)</f>
        <v>20.8432</v>
      </c>
      <c r="J738" s="4">
        <f>CHOOSE( CONTROL!$C$32, 20.686, 20.6849) * CHOOSE(CONTROL!$C$15, $D$11, 100%, $F$11)</f>
        <v>20.686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63644</v>
      </c>
      <c r="B739" s="8">
        <f>CHOOSE( CONTROL!$C$32, 20.87, 20.869) * CHOOSE(CONTROL!$C$15, $D$11, 100%, $F$11)</f>
        <v>20.87</v>
      </c>
      <c r="C739" s="8">
        <f>CHOOSE( CONTROL!$C$32, 20.8751, 20.874) * CHOOSE(CONTROL!$C$15, $D$11, 100%, $F$11)</f>
        <v>20.8751</v>
      </c>
      <c r="D739" s="8">
        <f>CHOOSE( CONTROL!$C$32, 20.8531, 20.852) * CHOOSE( CONTROL!$C$15, $D$11, 100%, $F$11)</f>
        <v>20.853100000000001</v>
      </c>
      <c r="E739" s="12">
        <f>CHOOSE( CONTROL!$C$32, 20.8606, 20.8595) * CHOOSE( CONTROL!$C$15, $D$11, 100%, $F$11)</f>
        <v>20.860600000000002</v>
      </c>
      <c r="F739" s="4">
        <f>CHOOSE( CONTROL!$C$32, 21.5353, 21.5342) * CHOOSE(CONTROL!$C$15, $D$11, 100%, $F$11)</f>
        <v>21.535299999999999</v>
      </c>
      <c r="G739" s="8">
        <f>CHOOSE( CONTROL!$C$32, 20.6272, 20.6261) * CHOOSE( CONTROL!$C$15, $D$11, 100%, $F$11)</f>
        <v>20.627199999999998</v>
      </c>
      <c r="H739" s="4">
        <f>CHOOSE( CONTROL!$C$32, 21.5298, 21.5287) * CHOOSE(CONTROL!$C$15, $D$11, 100%, $F$11)</f>
        <v>21.529800000000002</v>
      </c>
      <c r="I739" s="8">
        <f>CHOOSE( CONTROL!$C$32, 20.4007, 20.3996) * CHOOSE(CONTROL!$C$15, $D$11, 100%, $F$11)</f>
        <v>20.400700000000001</v>
      </c>
      <c r="J739" s="4">
        <f>CHOOSE( CONTROL!$C$32, 20.2456, 20.2446) * CHOOSE(CONTROL!$C$15, $D$11, 100%, $F$11)</f>
        <v>20.2456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63674</v>
      </c>
      <c r="B740" s="8">
        <f>CHOOSE( CONTROL!$C$32, 21.1879, 21.1868) * CHOOSE(CONTROL!$C$15, $D$11, 100%, $F$11)</f>
        <v>21.187899999999999</v>
      </c>
      <c r="C740" s="8">
        <f>CHOOSE( CONTROL!$C$32, 21.1924, 21.1913) * CHOOSE(CONTROL!$C$15, $D$11, 100%, $F$11)</f>
        <v>21.192399999999999</v>
      </c>
      <c r="D740" s="8">
        <f>CHOOSE( CONTROL!$C$32, 21.1952, 21.1941) * CHOOSE( CONTROL!$C$15, $D$11, 100%, $F$11)</f>
        <v>21.1952</v>
      </c>
      <c r="E740" s="12">
        <f>CHOOSE( CONTROL!$C$32, 21.1938, 21.1927) * CHOOSE( CONTROL!$C$15, $D$11, 100%, $F$11)</f>
        <v>21.1938</v>
      </c>
      <c r="F740" s="4">
        <f>CHOOSE( CONTROL!$C$32, 21.8962, 21.8951) * CHOOSE(CONTROL!$C$15, $D$11, 100%, $F$11)</f>
        <v>21.8962</v>
      </c>
      <c r="G740" s="8">
        <f>CHOOSE( CONTROL!$C$32, 20.951, 20.9499) * CHOOSE( CONTROL!$C$15, $D$11, 100%, $F$11)</f>
        <v>20.951000000000001</v>
      </c>
      <c r="H740" s="4">
        <f>CHOOSE( CONTROL!$C$32, 21.8864, 21.8853) * CHOOSE(CONTROL!$C$15, $D$11, 100%, $F$11)</f>
        <v>21.886399999999998</v>
      </c>
      <c r="I740" s="8">
        <f>CHOOSE( CONTROL!$C$32, 20.6808, 20.6797) * CHOOSE(CONTROL!$C$15, $D$11, 100%, $F$11)</f>
        <v>20.680800000000001</v>
      </c>
      <c r="J740" s="4">
        <f>CHOOSE( CONTROL!$C$32, 20.5533, 20.5523) * CHOOSE(CONTROL!$C$15, $D$11, 100%, $F$11)</f>
        <v>20.5533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1.2509999999999999</v>
      </c>
      <c r="Q740" s="9">
        <v>19.053000000000001</v>
      </c>
      <c r="R740" s="9"/>
      <c r="S740" s="11"/>
    </row>
    <row r="741" spans="1:19" ht="15.75">
      <c r="A741" s="13">
        <v>63705</v>
      </c>
      <c r="B741" s="8">
        <f>CHOOSE( CONTROL!$C$32, 21.7541, 21.7524) * CHOOSE(CONTROL!$C$15, $D$11, 100%, $F$11)</f>
        <v>21.754100000000001</v>
      </c>
      <c r="C741" s="8">
        <f>CHOOSE( CONTROL!$C$32, 21.762, 21.7604) * CHOOSE(CONTROL!$C$15, $D$11, 100%, $F$11)</f>
        <v>21.762</v>
      </c>
      <c r="D741" s="8">
        <f>CHOOSE( CONTROL!$C$32, 21.7588, 21.7571) * CHOOSE( CONTROL!$C$15, $D$11, 100%, $F$11)</f>
        <v>21.758800000000001</v>
      </c>
      <c r="E741" s="12">
        <f>CHOOSE( CONTROL!$C$32, 21.7588, 21.7571) * CHOOSE( CONTROL!$C$15, $D$11, 100%, $F$11)</f>
        <v>21.758800000000001</v>
      </c>
      <c r="F741" s="4">
        <f>CHOOSE( CONTROL!$C$32, 22.461, 22.4593) * CHOOSE(CONTROL!$C$15, $D$11, 100%, $F$11)</f>
        <v>22.460999999999999</v>
      </c>
      <c r="G741" s="8">
        <f>CHOOSE( CONTROL!$C$32, 21.5091, 21.5075) * CHOOSE( CONTROL!$C$15, $D$11, 100%, $F$11)</f>
        <v>21.5091</v>
      </c>
      <c r="H741" s="4">
        <f>CHOOSE( CONTROL!$C$32, 22.4446, 22.443) * CHOOSE(CONTROL!$C$15, $D$11, 100%, $F$11)</f>
        <v>22.444600000000001</v>
      </c>
      <c r="I741" s="8">
        <f>CHOOSE( CONTROL!$C$32, 21.2285, 21.2269) * CHOOSE(CONTROL!$C$15, $D$11, 100%, $F$11)</f>
        <v>21.2285</v>
      </c>
      <c r="J741" s="4">
        <f>CHOOSE( CONTROL!$C$32, 21.1015, 21.0999) * CHOOSE(CONTROL!$C$15, $D$11, 100%, $F$11)</f>
        <v>21.101500000000001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1.2927</v>
      </c>
      <c r="Q741" s="9">
        <v>19.688099999999999</v>
      </c>
      <c r="R741" s="9"/>
      <c r="S741" s="11"/>
    </row>
    <row r="742" spans="1:19" ht="15.75">
      <c r="A742" s="13">
        <v>63735</v>
      </c>
      <c r="B742" s="8">
        <f>CHOOSE( CONTROL!$C$32, 21.4045, 21.4029) * CHOOSE(CONTROL!$C$15, $D$11, 100%, $F$11)</f>
        <v>21.404499999999999</v>
      </c>
      <c r="C742" s="8">
        <f>CHOOSE( CONTROL!$C$32, 21.4125, 21.4108) * CHOOSE(CONTROL!$C$15, $D$11, 100%, $F$11)</f>
        <v>21.412500000000001</v>
      </c>
      <c r="D742" s="8">
        <f>CHOOSE( CONTROL!$C$32, 21.4095, 21.4078) * CHOOSE( CONTROL!$C$15, $D$11, 100%, $F$11)</f>
        <v>21.409500000000001</v>
      </c>
      <c r="E742" s="12">
        <f>CHOOSE( CONTROL!$C$32, 21.4094, 21.4077) * CHOOSE( CONTROL!$C$15, $D$11, 100%, $F$11)</f>
        <v>21.409400000000002</v>
      </c>
      <c r="F742" s="4">
        <f>CHOOSE( CONTROL!$C$32, 22.1115, 22.1098) * CHOOSE(CONTROL!$C$15, $D$11, 100%, $F$11)</f>
        <v>22.111499999999999</v>
      </c>
      <c r="G742" s="8">
        <f>CHOOSE( CONTROL!$C$32, 21.1638, 21.1622) * CHOOSE( CONTROL!$C$15, $D$11, 100%, $F$11)</f>
        <v>21.163799999999998</v>
      </c>
      <c r="H742" s="4">
        <f>CHOOSE( CONTROL!$C$32, 22.0992, 22.0975) * CHOOSE(CONTROL!$C$15, $D$11, 100%, $F$11)</f>
        <v>22.0992</v>
      </c>
      <c r="I742" s="8">
        <f>CHOOSE( CONTROL!$C$32, 20.8899, 20.8883) * CHOOSE(CONTROL!$C$15, $D$11, 100%, $F$11)</f>
        <v>20.889900000000001</v>
      </c>
      <c r="J742" s="4">
        <f>CHOOSE( CONTROL!$C$32, 20.7623, 20.7607) * CHOOSE(CONTROL!$C$15, $D$11, 100%, $F$11)</f>
        <v>20.7623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1.2509999999999999</v>
      </c>
      <c r="Q742" s="9">
        <v>19.053000000000001</v>
      </c>
      <c r="R742" s="9"/>
      <c r="S742" s="11"/>
    </row>
    <row r="743" spans="1:19" ht="15.75">
      <c r="A743" s="13">
        <v>63766</v>
      </c>
      <c r="B743" s="8">
        <f>CHOOSE( CONTROL!$C$32, 22.325, 22.3233) * CHOOSE(CONTROL!$C$15, $D$11, 100%, $F$11)</f>
        <v>22.324999999999999</v>
      </c>
      <c r="C743" s="8">
        <f>CHOOSE( CONTROL!$C$32, 22.333, 22.3313) * CHOOSE(CONTROL!$C$15, $D$11, 100%, $F$11)</f>
        <v>22.332999999999998</v>
      </c>
      <c r="D743" s="8">
        <f>CHOOSE( CONTROL!$C$32, 22.3302, 22.3285) * CHOOSE( CONTROL!$C$15, $D$11, 100%, $F$11)</f>
        <v>22.330200000000001</v>
      </c>
      <c r="E743" s="12">
        <f>CHOOSE( CONTROL!$C$32, 22.33, 22.3283) * CHOOSE( CONTROL!$C$15, $D$11, 100%, $F$11)</f>
        <v>22.33</v>
      </c>
      <c r="F743" s="4">
        <f>CHOOSE( CONTROL!$C$32, 23.0319, 23.0303) * CHOOSE(CONTROL!$C$15, $D$11, 100%, $F$11)</f>
        <v>23.0319</v>
      </c>
      <c r="G743" s="8">
        <f>CHOOSE( CONTROL!$C$32, 22.0737, 22.0721) * CHOOSE( CONTROL!$C$15, $D$11, 100%, $F$11)</f>
        <v>22.073699999999999</v>
      </c>
      <c r="H743" s="4">
        <f>CHOOSE( CONTROL!$C$32, 23.0089, 23.0072) * CHOOSE(CONTROL!$C$15, $D$11, 100%, $F$11)</f>
        <v>23.008900000000001</v>
      </c>
      <c r="I743" s="8">
        <f>CHOOSE( CONTROL!$C$32, 21.7845, 21.7829) * CHOOSE(CONTROL!$C$15, $D$11, 100%, $F$11)</f>
        <v>21.784500000000001</v>
      </c>
      <c r="J743" s="4">
        <f>CHOOSE( CONTROL!$C$32, 21.6556, 21.654) * CHOOSE(CONTROL!$C$15, $D$11, 100%, $F$11)</f>
        <v>21.6556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1.2927</v>
      </c>
      <c r="Q743" s="9">
        <v>19.688099999999999</v>
      </c>
      <c r="R743" s="9"/>
      <c r="S743" s="11"/>
    </row>
    <row r="744" spans="1:19" ht="15.75">
      <c r="A744" s="13">
        <v>63797</v>
      </c>
      <c r="B744" s="8">
        <f>CHOOSE( CONTROL!$C$32, 20.6027, 20.601) * CHOOSE(CONTROL!$C$15, $D$11, 100%, $F$11)</f>
        <v>20.602699999999999</v>
      </c>
      <c r="C744" s="8">
        <f>CHOOSE( CONTROL!$C$32, 20.6106, 20.609) * CHOOSE(CONTROL!$C$15, $D$11, 100%, $F$11)</f>
        <v>20.610600000000002</v>
      </c>
      <c r="D744" s="8">
        <f>CHOOSE( CONTROL!$C$32, 20.6079, 20.6063) * CHOOSE( CONTROL!$C$15, $D$11, 100%, $F$11)</f>
        <v>20.607900000000001</v>
      </c>
      <c r="E744" s="12">
        <f>CHOOSE( CONTROL!$C$32, 20.6077, 20.6061) * CHOOSE( CONTROL!$C$15, $D$11, 100%, $F$11)</f>
        <v>20.607700000000001</v>
      </c>
      <c r="F744" s="4">
        <f>CHOOSE( CONTROL!$C$32, 21.3096, 21.308) * CHOOSE(CONTROL!$C$15, $D$11, 100%, $F$11)</f>
        <v>21.3096</v>
      </c>
      <c r="G744" s="8">
        <f>CHOOSE( CONTROL!$C$32, 20.3717, 20.37) * CHOOSE( CONTROL!$C$15, $D$11, 100%, $F$11)</f>
        <v>20.371700000000001</v>
      </c>
      <c r="H744" s="4">
        <f>CHOOSE( CONTROL!$C$32, 21.3067, 21.3051) * CHOOSE(CONTROL!$C$15, $D$11, 100%, $F$11)</f>
        <v>21.306699999999999</v>
      </c>
      <c r="I744" s="8">
        <f>CHOOSE( CONTROL!$C$32, 20.1125, 20.1109) * CHOOSE(CONTROL!$C$15, $D$11, 100%, $F$11)</f>
        <v>20.112500000000001</v>
      </c>
      <c r="J744" s="4">
        <f>CHOOSE( CONTROL!$C$32, 19.9841, 19.9825) * CHOOSE(CONTROL!$C$15, $D$11, 100%, $F$11)</f>
        <v>19.984100000000002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1.2927</v>
      </c>
      <c r="Q744" s="9">
        <v>19.688099999999999</v>
      </c>
      <c r="R744" s="9"/>
      <c r="S744" s="11"/>
    </row>
    <row r="745" spans="1:19" ht="15.75">
      <c r="A745" s="13">
        <v>63827</v>
      </c>
      <c r="B745" s="8">
        <f>CHOOSE( CONTROL!$C$32, 20.1714, 20.1697) * CHOOSE(CONTROL!$C$15, $D$11, 100%, $F$11)</f>
        <v>20.171399999999998</v>
      </c>
      <c r="C745" s="8">
        <f>CHOOSE( CONTROL!$C$32, 20.1793, 20.1777) * CHOOSE(CONTROL!$C$15, $D$11, 100%, $F$11)</f>
        <v>20.179300000000001</v>
      </c>
      <c r="D745" s="8">
        <f>CHOOSE( CONTROL!$C$32, 20.1766, 20.1749) * CHOOSE( CONTROL!$C$15, $D$11, 100%, $F$11)</f>
        <v>20.176600000000001</v>
      </c>
      <c r="E745" s="12">
        <f>CHOOSE( CONTROL!$C$32, 20.1764, 20.1747) * CHOOSE( CONTROL!$C$15, $D$11, 100%, $F$11)</f>
        <v>20.176400000000001</v>
      </c>
      <c r="F745" s="4">
        <f>CHOOSE( CONTROL!$C$32, 20.8783, 20.8767) * CHOOSE(CONTROL!$C$15, $D$11, 100%, $F$11)</f>
        <v>20.878299999999999</v>
      </c>
      <c r="G745" s="8">
        <f>CHOOSE( CONTROL!$C$32, 19.9454, 19.9437) * CHOOSE( CONTROL!$C$15, $D$11, 100%, $F$11)</f>
        <v>19.945399999999999</v>
      </c>
      <c r="H745" s="4">
        <f>CHOOSE( CONTROL!$C$32, 20.8805, 20.8788) * CHOOSE(CONTROL!$C$15, $D$11, 100%, $F$11)</f>
        <v>20.880500000000001</v>
      </c>
      <c r="I745" s="8">
        <f>CHOOSE( CONTROL!$C$32, 19.6935, 19.6919) * CHOOSE(CONTROL!$C$15, $D$11, 100%, $F$11)</f>
        <v>19.6935</v>
      </c>
      <c r="J745" s="4">
        <f>CHOOSE( CONTROL!$C$32, 19.5655, 19.5639) * CHOOSE(CONTROL!$C$15, $D$11, 100%, $F$11)</f>
        <v>19.5655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1.2509999999999999</v>
      </c>
      <c r="Q745" s="9">
        <v>19.053000000000001</v>
      </c>
      <c r="R745" s="9"/>
      <c r="S745" s="11"/>
    </row>
    <row r="746" spans="1:19" ht="15.75">
      <c r="A746" s="13">
        <v>63858</v>
      </c>
      <c r="B746" s="8">
        <f>CHOOSE( CONTROL!$C$32, 21.0646, 21.0635) * CHOOSE(CONTROL!$C$15, $D$11, 100%, $F$11)</f>
        <v>21.064599999999999</v>
      </c>
      <c r="C746" s="8">
        <f>CHOOSE( CONTROL!$C$32, 21.0699, 21.0688) * CHOOSE(CONTROL!$C$15, $D$11, 100%, $F$11)</f>
        <v>21.069900000000001</v>
      </c>
      <c r="D746" s="8">
        <f>CHOOSE( CONTROL!$C$32, 21.0728, 21.0717) * CHOOSE( CONTROL!$C$15, $D$11, 100%, $F$11)</f>
        <v>21.072800000000001</v>
      </c>
      <c r="E746" s="12">
        <f>CHOOSE( CONTROL!$C$32, 21.0713, 21.0702) * CHOOSE( CONTROL!$C$15, $D$11, 100%, $F$11)</f>
        <v>21.071300000000001</v>
      </c>
      <c r="F746" s="4">
        <f>CHOOSE( CONTROL!$C$32, 21.7733, 21.7722) * CHOOSE(CONTROL!$C$15, $D$11, 100%, $F$11)</f>
        <v>21.773299999999999</v>
      </c>
      <c r="G746" s="8">
        <f>CHOOSE( CONTROL!$C$32, 20.83, 20.8289) * CHOOSE( CONTROL!$C$15, $D$11, 100%, $F$11)</f>
        <v>20.83</v>
      </c>
      <c r="H746" s="4">
        <f>CHOOSE( CONTROL!$C$32, 21.7649, 21.7638) * CHOOSE(CONTROL!$C$15, $D$11, 100%, $F$11)</f>
        <v>21.764900000000001</v>
      </c>
      <c r="I746" s="8">
        <f>CHOOSE( CONTROL!$C$32, 20.5633, 20.5623) * CHOOSE(CONTROL!$C$15, $D$11, 100%, $F$11)</f>
        <v>20.563300000000002</v>
      </c>
      <c r="J746" s="4">
        <f>CHOOSE( CONTROL!$C$32, 20.434, 20.433) * CHOOSE(CONTROL!$C$15, $D$11, 100%, $F$11)</f>
        <v>20.434000000000001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1.2927</v>
      </c>
      <c r="Q746" s="9">
        <v>19.688099999999999</v>
      </c>
      <c r="R746" s="9"/>
      <c r="S746" s="11"/>
    </row>
    <row r="747" spans="1:19" ht="15.75">
      <c r="A747" s="13">
        <v>63888</v>
      </c>
      <c r="B747" s="8">
        <f>CHOOSE( CONTROL!$C$32, 22.7171, 22.716) * CHOOSE(CONTROL!$C$15, $D$11, 100%, $F$11)</f>
        <v>22.717099999999999</v>
      </c>
      <c r="C747" s="8">
        <f>CHOOSE( CONTROL!$C$32, 22.7222, 22.7211) * CHOOSE(CONTROL!$C$15, $D$11, 100%, $F$11)</f>
        <v>22.722200000000001</v>
      </c>
      <c r="D747" s="8">
        <f>CHOOSE( CONTROL!$C$32, 22.7044, 22.7033) * CHOOSE( CONTROL!$C$15, $D$11, 100%, $F$11)</f>
        <v>22.7044</v>
      </c>
      <c r="E747" s="12">
        <f>CHOOSE( CONTROL!$C$32, 22.7104, 22.7093) * CHOOSE( CONTROL!$C$15, $D$11, 100%, $F$11)</f>
        <v>22.7104</v>
      </c>
      <c r="F747" s="4">
        <f>CHOOSE( CONTROL!$C$32, 23.3824, 23.3813) * CHOOSE(CONTROL!$C$15, $D$11, 100%, $F$11)</f>
        <v>23.382400000000001</v>
      </c>
      <c r="G747" s="8">
        <f>CHOOSE( CONTROL!$C$32, 22.4627, 22.4616) * CHOOSE( CONTROL!$C$15, $D$11, 100%, $F$11)</f>
        <v>22.462700000000002</v>
      </c>
      <c r="H747" s="4">
        <f>CHOOSE( CONTROL!$C$32, 23.3552, 23.3541) * CHOOSE(CONTROL!$C$15, $D$11, 100%, $F$11)</f>
        <v>23.3552</v>
      </c>
      <c r="I747" s="8">
        <f>CHOOSE( CONTROL!$C$32, 22.2301, 22.229) * CHOOSE(CONTROL!$C$15, $D$11, 100%, $F$11)</f>
        <v>22.2301</v>
      </c>
      <c r="J747" s="4">
        <f>CHOOSE( CONTROL!$C$32, 22.0382, 22.0372) * CHOOSE(CONTROL!$C$15, $D$11, 100%, $F$11)</f>
        <v>22.0382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63919</v>
      </c>
      <c r="B748" s="8">
        <f>CHOOSE( CONTROL!$C$32, 22.6758, 22.6747) * CHOOSE(CONTROL!$C$15, $D$11, 100%, $F$11)</f>
        <v>22.675799999999999</v>
      </c>
      <c r="C748" s="8">
        <f>CHOOSE( CONTROL!$C$32, 22.6809, 22.6798) * CHOOSE(CONTROL!$C$15, $D$11, 100%, $F$11)</f>
        <v>22.680900000000001</v>
      </c>
      <c r="D748" s="8">
        <f>CHOOSE( CONTROL!$C$32, 22.6645, 22.6634) * CHOOSE( CONTROL!$C$15, $D$11, 100%, $F$11)</f>
        <v>22.6645</v>
      </c>
      <c r="E748" s="12">
        <f>CHOOSE( CONTROL!$C$32, 22.67, 22.6689) * CHOOSE( CONTROL!$C$15, $D$11, 100%, $F$11)</f>
        <v>22.67</v>
      </c>
      <c r="F748" s="4">
        <f>CHOOSE( CONTROL!$C$32, 23.3411, 23.34) * CHOOSE(CONTROL!$C$15, $D$11, 100%, $F$11)</f>
        <v>23.341100000000001</v>
      </c>
      <c r="G748" s="8">
        <f>CHOOSE( CONTROL!$C$32, 22.4229, 22.4218) * CHOOSE( CONTROL!$C$15, $D$11, 100%, $F$11)</f>
        <v>22.422899999999998</v>
      </c>
      <c r="H748" s="4">
        <f>CHOOSE( CONTROL!$C$32, 23.3144, 23.3133) * CHOOSE(CONTROL!$C$15, $D$11, 100%, $F$11)</f>
        <v>23.314399999999999</v>
      </c>
      <c r="I748" s="8">
        <f>CHOOSE( CONTROL!$C$32, 22.1944, 22.1934) * CHOOSE(CONTROL!$C$15, $D$11, 100%, $F$11)</f>
        <v>22.194400000000002</v>
      </c>
      <c r="J748" s="4">
        <f>CHOOSE( CONTROL!$C$32, 21.9981, 21.9971) * CHOOSE(CONTROL!$C$15, $D$11, 100%, $F$11)</f>
        <v>21.998100000000001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63950</v>
      </c>
      <c r="B749" s="8">
        <f>CHOOSE( CONTROL!$C$32, 23.3444, 23.3433) * CHOOSE(CONTROL!$C$15, $D$11, 100%, $F$11)</f>
        <v>23.3444</v>
      </c>
      <c r="C749" s="8">
        <f>CHOOSE( CONTROL!$C$32, 23.3495, 23.3484) * CHOOSE(CONTROL!$C$15, $D$11, 100%, $F$11)</f>
        <v>23.349499999999999</v>
      </c>
      <c r="D749" s="8">
        <f>CHOOSE( CONTROL!$C$32, 23.3282, 23.3271) * CHOOSE( CONTROL!$C$15, $D$11, 100%, $F$11)</f>
        <v>23.328199999999999</v>
      </c>
      <c r="E749" s="12">
        <f>CHOOSE( CONTROL!$C$32, 23.3354, 23.3343) * CHOOSE( CONTROL!$C$15, $D$11, 100%, $F$11)</f>
        <v>23.3354</v>
      </c>
      <c r="F749" s="4">
        <f>CHOOSE( CONTROL!$C$32, 24.0097, 24.0086) * CHOOSE(CONTROL!$C$15, $D$11, 100%, $F$11)</f>
        <v>24.009699999999999</v>
      </c>
      <c r="G749" s="8">
        <f>CHOOSE( CONTROL!$C$32, 23.0731, 23.0721) * CHOOSE( CONTROL!$C$15, $D$11, 100%, $F$11)</f>
        <v>23.0731</v>
      </c>
      <c r="H749" s="4">
        <f>CHOOSE( CONTROL!$C$32, 23.9751, 23.9741) * CHOOSE(CONTROL!$C$15, $D$11, 100%, $F$11)</f>
        <v>23.975100000000001</v>
      </c>
      <c r="I749" s="8">
        <f>CHOOSE( CONTROL!$C$32, 22.8056, 22.8046) * CHOOSE(CONTROL!$C$15, $D$11, 100%, $F$11)</f>
        <v>22.805599999999998</v>
      </c>
      <c r="J749" s="4">
        <f>CHOOSE( CONTROL!$C$32, 22.647, 22.6459) * CHOOSE(CONTROL!$C$15, $D$11, 100%, $F$11)</f>
        <v>22.646999999999998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63978</v>
      </c>
      <c r="B750" s="8">
        <f>CHOOSE( CONTROL!$C$32, 21.8359, 21.8348) * CHOOSE(CONTROL!$C$15, $D$11, 100%, $F$11)</f>
        <v>21.835899999999999</v>
      </c>
      <c r="C750" s="8">
        <f>CHOOSE( CONTROL!$C$32, 21.8409, 21.8399) * CHOOSE(CONTROL!$C$15, $D$11, 100%, $F$11)</f>
        <v>21.840900000000001</v>
      </c>
      <c r="D750" s="8">
        <f>CHOOSE( CONTROL!$C$32, 21.8195, 21.8184) * CHOOSE( CONTROL!$C$15, $D$11, 100%, $F$11)</f>
        <v>21.819500000000001</v>
      </c>
      <c r="E750" s="12">
        <f>CHOOSE( CONTROL!$C$32, 21.8268, 21.8257) * CHOOSE( CONTROL!$C$15, $D$11, 100%, $F$11)</f>
        <v>21.826799999999999</v>
      </c>
      <c r="F750" s="4">
        <f>CHOOSE( CONTROL!$C$32, 22.5011, 22.5001) * CHOOSE(CONTROL!$C$15, $D$11, 100%, $F$11)</f>
        <v>22.501100000000001</v>
      </c>
      <c r="G750" s="8">
        <f>CHOOSE( CONTROL!$C$32, 21.5822, 21.5811) * CHOOSE( CONTROL!$C$15, $D$11, 100%, $F$11)</f>
        <v>21.5822</v>
      </c>
      <c r="H750" s="4">
        <f>CHOOSE( CONTROL!$C$32, 22.4843, 22.4832) * CHOOSE(CONTROL!$C$15, $D$11, 100%, $F$11)</f>
        <v>22.484300000000001</v>
      </c>
      <c r="I750" s="8">
        <f>CHOOSE( CONTROL!$C$32, 21.3405, 21.3394) * CHOOSE(CONTROL!$C$15, $D$11, 100%, $F$11)</f>
        <v>21.340499999999999</v>
      </c>
      <c r="J750" s="4">
        <f>CHOOSE( CONTROL!$C$32, 21.183, 21.1819) * CHOOSE(CONTROL!$C$15, $D$11, 100%, $F$11)</f>
        <v>21.183</v>
      </c>
      <c r="K750" s="4"/>
      <c r="L750" s="9">
        <v>26.469899999999999</v>
      </c>
      <c r="M750" s="9">
        <v>10.8962</v>
      </c>
      <c r="N750" s="9">
        <v>4.4660000000000002</v>
      </c>
      <c r="O750" s="9">
        <v>0.33789999999999998</v>
      </c>
      <c r="P750" s="9">
        <v>1.1676</v>
      </c>
      <c r="Q750" s="9">
        <v>17.782800000000002</v>
      </c>
      <c r="R750" s="9"/>
      <c r="S750" s="11"/>
    </row>
    <row r="751" spans="1:19" ht="15.75">
      <c r="A751" s="13">
        <v>64009</v>
      </c>
      <c r="B751" s="8">
        <f>CHOOSE( CONTROL!$C$32, 21.3712, 21.3702) * CHOOSE(CONTROL!$C$15, $D$11, 100%, $F$11)</f>
        <v>21.371200000000002</v>
      </c>
      <c r="C751" s="8">
        <f>CHOOSE( CONTROL!$C$32, 21.3763, 21.3752) * CHOOSE(CONTROL!$C$15, $D$11, 100%, $F$11)</f>
        <v>21.376300000000001</v>
      </c>
      <c r="D751" s="8">
        <f>CHOOSE( CONTROL!$C$32, 21.3543, 21.3532) * CHOOSE( CONTROL!$C$15, $D$11, 100%, $F$11)</f>
        <v>21.354299999999999</v>
      </c>
      <c r="E751" s="12">
        <f>CHOOSE( CONTROL!$C$32, 21.3618, 21.3607) * CHOOSE( CONTROL!$C$15, $D$11, 100%, $F$11)</f>
        <v>21.361799999999999</v>
      </c>
      <c r="F751" s="4">
        <f>CHOOSE( CONTROL!$C$32, 22.0365, 22.0354) * CHOOSE(CONTROL!$C$15, $D$11, 100%, $F$11)</f>
        <v>22.0365</v>
      </c>
      <c r="G751" s="8">
        <f>CHOOSE( CONTROL!$C$32, 21.1225, 21.1215) * CHOOSE( CONTROL!$C$15, $D$11, 100%, $F$11)</f>
        <v>21.122499999999999</v>
      </c>
      <c r="H751" s="4">
        <f>CHOOSE( CONTROL!$C$32, 22.0251, 22.024) * CHOOSE(CONTROL!$C$15, $D$11, 100%, $F$11)</f>
        <v>22.025099999999998</v>
      </c>
      <c r="I751" s="8">
        <f>CHOOSE( CONTROL!$C$32, 20.8874, 20.8863) * CHOOSE(CONTROL!$C$15, $D$11, 100%, $F$11)</f>
        <v>20.8874</v>
      </c>
      <c r="J751" s="4">
        <f>CHOOSE( CONTROL!$C$32, 20.732, 20.731) * CHOOSE(CONTROL!$C$15, $D$11, 100%, $F$11)</f>
        <v>20.731999999999999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64039</v>
      </c>
      <c r="B752" s="8">
        <f>CHOOSE( CONTROL!$C$32, 21.6967, 21.6956) * CHOOSE(CONTROL!$C$15, $D$11, 100%, $F$11)</f>
        <v>21.6967</v>
      </c>
      <c r="C752" s="8">
        <f>CHOOSE( CONTROL!$C$32, 21.7012, 21.7001) * CHOOSE(CONTROL!$C$15, $D$11, 100%, $F$11)</f>
        <v>21.7012</v>
      </c>
      <c r="D752" s="8">
        <f>CHOOSE( CONTROL!$C$32, 21.704, 21.7029) * CHOOSE( CONTROL!$C$15, $D$11, 100%, $F$11)</f>
        <v>21.704000000000001</v>
      </c>
      <c r="E752" s="12">
        <f>CHOOSE( CONTROL!$C$32, 21.7026, 21.7015) * CHOOSE( CONTROL!$C$15, $D$11, 100%, $F$11)</f>
        <v>21.7026</v>
      </c>
      <c r="F752" s="4">
        <f>CHOOSE( CONTROL!$C$32, 22.405, 22.4039) * CHOOSE(CONTROL!$C$15, $D$11, 100%, $F$11)</f>
        <v>22.405000000000001</v>
      </c>
      <c r="G752" s="8">
        <f>CHOOSE( CONTROL!$C$32, 21.4539, 21.4528) * CHOOSE( CONTROL!$C$15, $D$11, 100%, $F$11)</f>
        <v>21.453900000000001</v>
      </c>
      <c r="H752" s="4">
        <f>CHOOSE( CONTROL!$C$32, 22.3892, 22.3882) * CHOOSE(CONTROL!$C$15, $D$11, 100%, $F$11)</f>
        <v>22.389199999999999</v>
      </c>
      <c r="I752" s="8">
        <f>CHOOSE( CONTROL!$C$32, 21.1749, 21.1738) * CHOOSE(CONTROL!$C$15, $D$11, 100%, $F$11)</f>
        <v>21.174900000000001</v>
      </c>
      <c r="J752" s="4">
        <f>CHOOSE( CONTROL!$C$32, 21.0471, 21.0461) * CHOOSE(CONTROL!$C$15, $D$11, 100%, $F$11)</f>
        <v>21.0471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1.2509999999999999</v>
      </c>
      <c r="Q752" s="9">
        <v>19.053000000000001</v>
      </c>
      <c r="R752" s="9"/>
      <c r="S752" s="11"/>
    </row>
    <row r="753" spans="1:19" ht="15.75">
      <c r="A753" s="13">
        <v>64070</v>
      </c>
      <c r="B753" s="8">
        <f>CHOOSE( CONTROL!$C$32, 22.2765, 22.2748) * CHOOSE(CONTROL!$C$15, $D$11, 100%, $F$11)</f>
        <v>22.276499999999999</v>
      </c>
      <c r="C753" s="8">
        <f>CHOOSE( CONTROL!$C$32, 22.2844, 22.2828) * CHOOSE(CONTROL!$C$15, $D$11, 100%, $F$11)</f>
        <v>22.284400000000002</v>
      </c>
      <c r="D753" s="8">
        <f>CHOOSE( CONTROL!$C$32, 22.2812, 22.2795) * CHOOSE( CONTROL!$C$15, $D$11, 100%, $F$11)</f>
        <v>22.281199999999998</v>
      </c>
      <c r="E753" s="12">
        <f>CHOOSE( CONTROL!$C$32, 22.2812, 22.2795) * CHOOSE( CONTROL!$C$15, $D$11, 100%, $F$11)</f>
        <v>22.281199999999998</v>
      </c>
      <c r="F753" s="4">
        <f>CHOOSE( CONTROL!$C$32, 22.9834, 22.9817) * CHOOSE(CONTROL!$C$15, $D$11, 100%, $F$11)</f>
        <v>22.9834</v>
      </c>
      <c r="G753" s="8">
        <f>CHOOSE( CONTROL!$C$32, 22.0254, 22.0237) * CHOOSE( CONTROL!$C$15, $D$11, 100%, $F$11)</f>
        <v>22.025400000000001</v>
      </c>
      <c r="H753" s="4">
        <f>CHOOSE( CONTROL!$C$32, 22.9609, 22.9592) * CHOOSE(CONTROL!$C$15, $D$11, 100%, $F$11)</f>
        <v>22.960899999999999</v>
      </c>
      <c r="I753" s="8">
        <f>CHOOSE( CONTROL!$C$32, 21.7358, 21.7341) * CHOOSE(CONTROL!$C$15, $D$11, 100%, $F$11)</f>
        <v>21.735800000000001</v>
      </c>
      <c r="J753" s="4">
        <f>CHOOSE( CONTROL!$C$32, 21.6085, 21.6069) * CHOOSE(CONTROL!$C$15, $D$11, 100%, $F$11)</f>
        <v>21.608499999999999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1.2927</v>
      </c>
      <c r="Q753" s="9">
        <v>19.688099999999999</v>
      </c>
      <c r="R753" s="9"/>
      <c r="S753" s="11"/>
    </row>
    <row r="754" spans="1:19" ht="15.75">
      <c r="A754" s="13">
        <v>64100</v>
      </c>
      <c r="B754" s="8">
        <f>CHOOSE( CONTROL!$C$32, 21.9185, 21.9168) * CHOOSE(CONTROL!$C$15, $D$11, 100%, $F$11)</f>
        <v>21.918500000000002</v>
      </c>
      <c r="C754" s="8">
        <f>CHOOSE( CONTROL!$C$32, 21.9265, 21.9248) * CHOOSE(CONTROL!$C$15, $D$11, 100%, $F$11)</f>
        <v>21.926500000000001</v>
      </c>
      <c r="D754" s="8">
        <f>CHOOSE( CONTROL!$C$32, 21.9234, 21.9218) * CHOOSE( CONTROL!$C$15, $D$11, 100%, $F$11)</f>
        <v>21.923400000000001</v>
      </c>
      <c r="E754" s="12">
        <f>CHOOSE( CONTROL!$C$32, 21.9233, 21.9217) * CHOOSE( CONTROL!$C$15, $D$11, 100%, $F$11)</f>
        <v>21.923300000000001</v>
      </c>
      <c r="F754" s="4">
        <f>CHOOSE( CONTROL!$C$32, 22.6254, 22.6238) * CHOOSE(CONTROL!$C$15, $D$11, 100%, $F$11)</f>
        <v>22.625399999999999</v>
      </c>
      <c r="G754" s="8">
        <f>CHOOSE( CONTROL!$C$32, 21.6718, 21.6702) * CHOOSE( CONTROL!$C$15, $D$11, 100%, $F$11)</f>
        <v>21.671800000000001</v>
      </c>
      <c r="H754" s="4">
        <f>CHOOSE( CONTROL!$C$32, 22.6071, 22.6055) * CHOOSE(CONTROL!$C$15, $D$11, 100%, $F$11)</f>
        <v>22.607099999999999</v>
      </c>
      <c r="I754" s="8">
        <f>CHOOSE( CONTROL!$C$32, 21.389, 21.3874) * CHOOSE(CONTROL!$C$15, $D$11, 100%, $F$11)</f>
        <v>21.388999999999999</v>
      </c>
      <c r="J754" s="4">
        <f>CHOOSE( CONTROL!$C$32, 21.2611, 21.2595) * CHOOSE(CONTROL!$C$15, $D$11, 100%, $F$11)</f>
        <v>21.261099999999999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1.2509999999999999</v>
      </c>
      <c r="Q754" s="9">
        <v>19.053000000000001</v>
      </c>
      <c r="R754" s="9"/>
      <c r="S754" s="11"/>
    </row>
    <row r="755" spans="1:19" ht="15.75">
      <c r="A755" s="13">
        <v>64131</v>
      </c>
      <c r="B755" s="8">
        <f>CHOOSE( CONTROL!$C$32, 22.8611, 22.8595) * CHOOSE(CONTROL!$C$15, $D$11, 100%, $F$11)</f>
        <v>22.8611</v>
      </c>
      <c r="C755" s="8">
        <f>CHOOSE( CONTROL!$C$32, 22.8691, 22.8674) * CHOOSE(CONTROL!$C$15, $D$11, 100%, $F$11)</f>
        <v>22.8691</v>
      </c>
      <c r="D755" s="8">
        <f>CHOOSE( CONTROL!$C$32, 22.8663, 22.8646) * CHOOSE( CONTROL!$C$15, $D$11, 100%, $F$11)</f>
        <v>22.866299999999999</v>
      </c>
      <c r="E755" s="12">
        <f>CHOOSE( CONTROL!$C$32, 22.8661, 22.8644) * CHOOSE( CONTROL!$C$15, $D$11, 100%, $F$11)</f>
        <v>22.866099999999999</v>
      </c>
      <c r="F755" s="4">
        <f>CHOOSE( CONTROL!$C$32, 23.5681, 23.5664) * CHOOSE(CONTROL!$C$15, $D$11, 100%, $F$11)</f>
        <v>23.568100000000001</v>
      </c>
      <c r="G755" s="8">
        <f>CHOOSE( CONTROL!$C$32, 22.6036, 22.6019) * CHOOSE( CONTROL!$C$15, $D$11, 100%, $F$11)</f>
        <v>22.6036</v>
      </c>
      <c r="H755" s="4">
        <f>CHOOSE( CONTROL!$C$32, 23.5387, 23.5371) * CHOOSE(CONTROL!$C$15, $D$11, 100%, $F$11)</f>
        <v>23.538699999999999</v>
      </c>
      <c r="I755" s="8">
        <f>CHOOSE( CONTROL!$C$32, 22.3051, 22.3035) * CHOOSE(CONTROL!$C$15, $D$11, 100%, $F$11)</f>
        <v>22.305099999999999</v>
      </c>
      <c r="J755" s="4">
        <f>CHOOSE( CONTROL!$C$32, 22.1759, 22.1743) * CHOOSE(CONTROL!$C$15, $D$11, 100%, $F$11)</f>
        <v>22.175899999999999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1.2927</v>
      </c>
      <c r="Q755" s="9">
        <v>19.688099999999999</v>
      </c>
      <c r="R755" s="9"/>
      <c r="S755" s="11"/>
    </row>
    <row r="756" spans="1:19" ht="15.75">
      <c r="A756" s="13">
        <v>64162</v>
      </c>
      <c r="B756" s="8">
        <f>CHOOSE( CONTROL!$C$32, 21.0974, 21.0957) * CHOOSE(CONTROL!$C$15, $D$11, 100%, $F$11)</f>
        <v>21.0974</v>
      </c>
      <c r="C756" s="8">
        <f>CHOOSE( CONTROL!$C$32, 21.1054, 21.1037) * CHOOSE(CONTROL!$C$15, $D$11, 100%, $F$11)</f>
        <v>21.105399999999999</v>
      </c>
      <c r="D756" s="8">
        <f>CHOOSE( CONTROL!$C$32, 21.1027, 21.101) * CHOOSE( CONTROL!$C$15, $D$11, 100%, $F$11)</f>
        <v>21.102699999999999</v>
      </c>
      <c r="E756" s="12">
        <f>CHOOSE( CONTROL!$C$32, 21.1025, 21.1008) * CHOOSE( CONTROL!$C$15, $D$11, 100%, $F$11)</f>
        <v>21.102499999999999</v>
      </c>
      <c r="F756" s="4">
        <f>CHOOSE( CONTROL!$C$32, 21.8043, 21.8027) * CHOOSE(CONTROL!$C$15, $D$11, 100%, $F$11)</f>
        <v>21.804300000000001</v>
      </c>
      <c r="G756" s="8">
        <f>CHOOSE( CONTROL!$C$32, 20.8606, 20.8589) * CHOOSE( CONTROL!$C$15, $D$11, 100%, $F$11)</f>
        <v>20.860600000000002</v>
      </c>
      <c r="H756" s="4">
        <f>CHOOSE( CONTROL!$C$32, 21.7956, 21.794) * CHOOSE(CONTROL!$C$15, $D$11, 100%, $F$11)</f>
        <v>21.7956</v>
      </c>
      <c r="I756" s="8">
        <f>CHOOSE( CONTROL!$C$32, 20.5929, 20.5913) * CHOOSE(CONTROL!$C$15, $D$11, 100%, $F$11)</f>
        <v>20.5929</v>
      </c>
      <c r="J756" s="4">
        <f>CHOOSE( CONTROL!$C$32, 20.4642, 20.4626) * CHOOSE(CONTROL!$C$15, $D$11, 100%, $F$11)</f>
        <v>20.464200000000002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1.2927</v>
      </c>
      <c r="Q756" s="9">
        <v>19.688099999999999</v>
      </c>
      <c r="R756" s="9"/>
      <c r="S756" s="11"/>
    </row>
    <row r="757" spans="1:19" ht="15.75">
      <c r="A757" s="13">
        <v>64192</v>
      </c>
      <c r="B757" s="8">
        <f>CHOOSE( CONTROL!$C$32, 20.6557, 20.6541) * CHOOSE(CONTROL!$C$15, $D$11, 100%, $F$11)</f>
        <v>20.6557</v>
      </c>
      <c r="C757" s="8">
        <f>CHOOSE( CONTROL!$C$32, 20.6637, 20.6621) * CHOOSE(CONTROL!$C$15, $D$11, 100%, $F$11)</f>
        <v>20.663699999999999</v>
      </c>
      <c r="D757" s="8">
        <f>CHOOSE( CONTROL!$C$32, 20.661, 20.6593) * CHOOSE( CONTROL!$C$15, $D$11, 100%, $F$11)</f>
        <v>20.661000000000001</v>
      </c>
      <c r="E757" s="12">
        <f>CHOOSE( CONTROL!$C$32, 20.6608, 20.6591) * CHOOSE( CONTROL!$C$15, $D$11, 100%, $F$11)</f>
        <v>20.660799999999998</v>
      </c>
      <c r="F757" s="4">
        <f>CHOOSE( CONTROL!$C$32, 21.3627, 21.361) * CHOOSE(CONTROL!$C$15, $D$11, 100%, $F$11)</f>
        <v>21.3627</v>
      </c>
      <c r="G757" s="8">
        <f>CHOOSE( CONTROL!$C$32, 20.4241, 20.4224) * CHOOSE( CONTROL!$C$15, $D$11, 100%, $F$11)</f>
        <v>20.424099999999999</v>
      </c>
      <c r="H757" s="4">
        <f>CHOOSE( CONTROL!$C$32, 21.3591, 21.3575) * CHOOSE(CONTROL!$C$15, $D$11, 100%, $F$11)</f>
        <v>21.359100000000002</v>
      </c>
      <c r="I757" s="8">
        <f>CHOOSE( CONTROL!$C$32, 20.1639, 20.1622) * CHOOSE(CONTROL!$C$15, $D$11, 100%, $F$11)</f>
        <v>20.163900000000002</v>
      </c>
      <c r="J757" s="4">
        <f>CHOOSE( CONTROL!$C$32, 20.0356, 20.034) * CHOOSE(CONTROL!$C$15, $D$11, 100%, $F$11)</f>
        <v>20.035599999999999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1.2509999999999999</v>
      </c>
      <c r="Q757" s="9">
        <v>19.053000000000001</v>
      </c>
      <c r="R757" s="9"/>
      <c r="S757" s="11"/>
    </row>
    <row r="758" spans="1:19" ht="15.75">
      <c r="A758" s="13">
        <v>64223</v>
      </c>
      <c r="B758" s="8">
        <f>CHOOSE( CONTROL!$C$32, 21.5705, 21.5694) * CHOOSE(CONTROL!$C$15, $D$11, 100%, $F$11)</f>
        <v>21.570499999999999</v>
      </c>
      <c r="C758" s="8">
        <f>CHOOSE( CONTROL!$C$32, 21.5758, 21.5747) * CHOOSE(CONTROL!$C$15, $D$11, 100%, $F$11)</f>
        <v>21.575800000000001</v>
      </c>
      <c r="D758" s="8">
        <f>CHOOSE( CONTROL!$C$32, 21.5787, 21.5776) * CHOOSE( CONTROL!$C$15, $D$11, 100%, $F$11)</f>
        <v>21.578700000000001</v>
      </c>
      <c r="E758" s="12">
        <f>CHOOSE( CONTROL!$C$32, 21.5772, 21.5761) * CHOOSE( CONTROL!$C$15, $D$11, 100%, $F$11)</f>
        <v>21.577200000000001</v>
      </c>
      <c r="F758" s="4">
        <f>CHOOSE( CONTROL!$C$32, 22.2791, 22.278) * CHOOSE(CONTROL!$C$15, $D$11, 100%, $F$11)</f>
        <v>22.2791</v>
      </c>
      <c r="G758" s="8">
        <f>CHOOSE( CONTROL!$C$32, 21.3299, 21.3289) * CHOOSE( CONTROL!$C$15, $D$11, 100%, $F$11)</f>
        <v>21.329899999999999</v>
      </c>
      <c r="H758" s="4">
        <f>CHOOSE( CONTROL!$C$32, 22.2649, 22.2638) * CHOOSE(CONTROL!$C$15, $D$11, 100%, $F$11)</f>
        <v>22.264900000000001</v>
      </c>
      <c r="I758" s="8">
        <f>CHOOSE( CONTROL!$C$32, 21.0545, 21.0535) * CHOOSE(CONTROL!$C$15, $D$11, 100%, $F$11)</f>
        <v>21.054500000000001</v>
      </c>
      <c r="J758" s="4">
        <f>CHOOSE( CONTROL!$C$32, 20.925, 20.9239) * CHOOSE(CONTROL!$C$15, $D$11, 100%, $F$11)</f>
        <v>20.925000000000001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1.2927</v>
      </c>
      <c r="Q758" s="9">
        <v>19.688099999999999</v>
      </c>
      <c r="R758" s="9"/>
      <c r="S758" s="11"/>
    </row>
    <row r="759" spans="1:19" ht="15.75">
      <c r="A759" s="13">
        <v>64253</v>
      </c>
      <c r="B759" s="8">
        <f>CHOOSE( CONTROL!$C$32, 23.2627, 23.2616) * CHOOSE(CONTROL!$C$15, $D$11, 100%, $F$11)</f>
        <v>23.262699999999999</v>
      </c>
      <c r="C759" s="8">
        <f>CHOOSE( CONTROL!$C$32, 23.2678, 23.2667) * CHOOSE(CONTROL!$C$15, $D$11, 100%, $F$11)</f>
        <v>23.267800000000001</v>
      </c>
      <c r="D759" s="8">
        <f>CHOOSE( CONTROL!$C$32, 23.25, 23.2489) * CHOOSE( CONTROL!$C$15, $D$11, 100%, $F$11)</f>
        <v>23.25</v>
      </c>
      <c r="E759" s="12">
        <f>CHOOSE( CONTROL!$C$32, 23.256, 23.2549) * CHOOSE( CONTROL!$C$15, $D$11, 100%, $F$11)</f>
        <v>23.256</v>
      </c>
      <c r="F759" s="4">
        <f>CHOOSE( CONTROL!$C$32, 23.928, 23.9269) * CHOOSE(CONTROL!$C$15, $D$11, 100%, $F$11)</f>
        <v>23.928000000000001</v>
      </c>
      <c r="G759" s="8">
        <f>CHOOSE( CONTROL!$C$32, 23.0019, 23.0008) * CHOOSE( CONTROL!$C$15, $D$11, 100%, $F$11)</f>
        <v>23.001899999999999</v>
      </c>
      <c r="H759" s="4">
        <f>CHOOSE( CONTROL!$C$32, 23.8944, 23.8934) * CHOOSE(CONTROL!$C$15, $D$11, 100%, $F$11)</f>
        <v>23.894400000000001</v>
      </c>
      <c r="I759" s="8">
        <f>CHOOSE( CONTROL!$C$32, 22.7598, 22.7588) * CHOOSE(CONTROL!$C$15, $D$11, 100%, $F$11)</f>
        <v>22.759799999999998</v>
      </c>
      <c r="J759" s="4">
        <f>CHOOSE( CONTROL!$C$32, 22.5677, 22.5667) * CHOOSE(CONTROL!$C$15, $D$11, 100%, $F$11)</f>
        <v>22.567699999999999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64284</v>
      </c>
      <c r="B760" s="8">
        <f>CHOOSE( CONTROL!$C$32, 23.2204, 23.2193) * CHOOSE(CONTROL!$C$15, $D$11, 100%, $F$11)</f>
        <v>23.220400000000001</v>
      </c>
      <c r="C760" s="8">
        <f>CHOOSE( CONTROL!$C$32, 23.2255, 23.2244) * CHOOSE(CONTROL!$C$15, $D$11, 100%, $F$11)</f>
        <v>23.2255</v>
      </c>
      <c r="D760" s="8">
        <f>CHOOSE( CONTROL!$C$32, 23.2091, 23.208) * CHOOSE( CONTROL!$C$15, $D$11, 100%, $F$11)</f>
        <v>23.209099999999999</v>
      </c>
      <c r="E760" s="12">
        <f>CHOOSE( CONTROL!$C$32, 23.2146, 23.2135) * CHOOSE( CONTROL!$C$15, $D$11, 100%, $F$11)</f>
        <v>23.214600000000001</v>
      </c>
      <c r="F760" s="4">
        <f>CHOOSE( CONTROL!$C$32, 23.8857, 23.8846) * CHOOSE(CONTROL!$C$15, $D$11, 100%, $F$11)</f>
        <v>23.8857</v>
      </c>
      <c r="G760" s="8">
        <f>CHOOSE( CONTROL!$C$32, 22.9611, 22.96) * CHOOSE( CONTROL!$C$15, $D$11, 100%, $F$11)</f>
        <v>22.961099999999998</v>
      </c>
      <c r="H760" s="4">
        <f>CHOOSE( CONTROL!$C$32, 23.8526, 23.8516) * CHOOSE(CONTROL!$C$15, $D$11, 100%, $F$11)</f>
        <v>23.852599999999999</v>
      </c>
      <c r="I760" s="8">
        <f>CHOOSE( CONTROL!$C$32, 22.7232, 22.7222) * CHOOSE(CONTROL!$C$15, $D$11, 100%, $F$11)</f>
        <v>22.723199999999999</v>
      </c>
      <c r="J760" s="4">
        <f>CHOOSE( CONTROL!$C$32, 22.5267, 22.5256) * CHOOSE(CONTROL!$C$15, $D$11, 100%, $F$11)</f>
        <v>22.526700000000002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64315</v>
      </c>
      <c r="B761" s="8">
        <f>CHOOSE( CONTROL!$C$32, 23.9051, 23.904) * CHOOSE(CONTROL!$C$15, $D$11, 100%, $F$11)</f>
        <v>23.905100000000001</v>
      </c>
      <c r="C761" s="8">
        <f>CHOOSE( CONTROL!$C$32, 23.9101, 23.909) * CHOOSE(CONTROL!$C$15, $D$11, 100%, $F$11)</f>
        <v>23.9101</v>
      </c>
      <c r="D761" s="8">
        <f>CHOOSE( CONTROL!$C$32, 23.8888, 23.8878) * CHOOSE( CONTROL!$C$15, $D$11, 100%, $F$11)</f>
        <v>23.8888</v>
      </c>
      <c r="E761" s="12">
        <f>CHOOSE( CONTROL!$C$32, 23.8961, 23.895) * CHOOSE( CONTROL!$C$15, $D$11, 100%, $F$11)</f>
        <v>23.896100000000001</v>
      </c>
      <c r="F761" s="4">
        <f>CHOOSE( CONTROL!$C$32, 24.5703, 24.5693) * CHOOSE(CONTROL!$C$15, $D$11, 100%, $F$11)</f>
        <v>24.5703</v>
      </c>
      <c r="G761" s="8">
        <f>CHOOSE( CONTROL!$C$32, 23.6272, 23.6262) * CHOOSE( CONTROL!$C$15, $D$11, 100%, $F$11)</f>
        <v>23.627199999999998</v>
      </c>
      <c r="H761" s="4">
        <f>CHOOSE( CONTROL!$C$32, 24.5292, 24.5282) * CHOOSE(CONTROL!$C$15, $D$11, 100%, $F$11)</f>
        <v>24.529199999999999</v>
      </c>
      <c r="I761" s="8">
        <f>CHOOSE( CONTROL!$C$32, 23.35, 23.349) * CHOOSE(CONTROL!$C$15, $D$11, 100%, $F$11)</f>
        <v>23.35</v>
      </c>
      <c r="J761" s="4">
        <f>CHOOSE( CONTROL!$C$32, 23.1911, 23.1901) * CHOOSE(CONTROL!$C$15, $D$11, 100%, $F$11)</f>
        <v>23.191099999999999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64344</v>
      </c>
      <c r="B762" s="8">
        <f>CHOOSE( CONTROL!$C$32, 22.3603, 22.3592) * CHOOSE(CONTROL!$C$15, $D$11, 100%, $F$11)</f>
        <v>22.360299999999999</v>
      </c>
      <c r="C762" s="8">
        <f>CHOOSE( CONTROL!$C$32, 22.3654, 22.3643) * CHOOSE(CONTROL!$C$15, $D$11, 100%, $F$11)</f>
        <v>22.365400000000001</v>
      </c>
      <c r="D762" s="8">
        <f>CHOOSE( CONTROL!$C$32, 22.3439, 22.3429) * CHOOSE( CONTROL!$C$15, $D$11, 100%, $F$11)</f>
        <v>22.343900000000001</v>
      </c>
      <c r="E762" s="12">
        <f>CHOOSE( CONTROL!$C$32, 22.3512, 22.3502) * CHOOSE( CONTROL!$C$15, $D$11, 100%, $F$11)</f>
        <v>22.351199999999999</v>
      </c>
      <c r="F762" s="4">
        <f>CHOOSE( CONTROL!$C$32, 23.0256, 23.0245) * CHOOSE(CONTROL!$C$15, $D$11, 100%, $F$11)</f>
        <v>23.025600000000001</v>
      </c>
      <c r="G762" s="8">
        <f>CHOOSE( CONTROL!$C$32, 22.1005, 22.0994) * CHOOSE( CONTROL!$C$15, $D$11, 100%, $F$11)</f>
        <v>22.1005</v>
      </c>
      <c r="H762" s="4">
        <f>CHOOSE( CONTROL!$C$32, 23.0026, 23.0015) * CHOOSE(CONTROL!$C$15, $D$11, 100%, $F$11)</f>
        <v>23.002600000000001</v>
      </c>
      <c r="I762" s="8">
        <f>CHOOSE( CONTROL!$C$32, 21.8497, 21.8486) * CHOOSE(CONTROL!$C$15, $D$11, 100%, $F$11)</f>
        <v>21.849699999999999</v>
      </c>
      <c r="J762" s="4">
        <f>CHOOSE( CONTROL!$C$32, 21.6919, 21.6909) * CHOOSE(CONTROL!$C$15, $D$11, 100%, $F$11)</f>
        <v>21.6919</v>
      </c>
      <c r="K762" s="4"/>
      <c r="L762" s="9">
        <v>27.415299999999998</v>
      </c>
      <c r="M762" s="9">
        <v>11.285299999999999</v>
      </c>
      <c r="N762" s="9">
        <v>4.6254999999999997</v>
      </c>
      <c r="O762" s="9">
        <v>0.34989999999999999</v>
      </c>
      <c r="P762" s="9">
        <v>1.2093</v>
      </c>
      <c r="Q762" s="9">
        <v>18.417899999999999</v>
      </c>
      <c r="R762" s="9"/>
      <c r="S762" s="11"/>
    </row>
    <row r="763" spans="1:19" ht="15.75">
      <c r="A763" s="13">
        <v>64375</v>
      </c>
      <c r="B763" s="8">
        <f>CHOOSE( CONTROL!$C$32, 21.8845, 21.8834) * CHOOSE(CONTROL!$C$15, $D$11, 100%, $F$11)</f>
        <v>21.884499999999999</v>
      </c>
      <c r="C763" s="8">
        <f>CHOOSE( CONTROL!$C$32, 21.8896, 21.8885) * CHOOSE(CONTROL!$C$15, $D$11, 100%, $F$11)</f>
        <v>21.889600000000002</v>
      </c>
      <c r="D763" s="8">
        <f>CHOOSE( CONTROL!$C$32, 21.8675, 21.8664) * CHOOSE( CONTROL!$C$15, $D$11, 100%, $F$11)</f>
        <v>21.8675</v>
      </c>
      <c r="E763" s="12">
        <f>CHOOSE( CONTROL!$C$32, 21.875, 21.8739) * CHOOSE( CONTROL!$C$15, $D$11, 100%, $F$11)</f>
        <v>21.875</v>
      </c>
      <c r="F763" s="4">
        <f>CHOOSE( CONTROL!$C$32, 22.5498, 22.5487) * CHOOSE(CONTROL!$C$15, $D$11, 100%, $F$11)</f>
        <v>22.549800000000001</v>
      </c>
      <c r="G763" s="8">
        <f>CHOOSE( CONTROL!$C$32, 21.6298, 21.6287) * CHOOSE( CONTROL!$C$15, $D$11, 100%, $F$11)</f>
        <v>21.629799999999999</v>
      </c>
      <c r="H763" s="4">
        <f>CHOOSE( CONTROL!$C$32, 22.5323, 22.5313) * CHOOSE(CONTROL!$C$15, $D$11, 100%, $F$11)</f>
        <v>22.532299999999999</v>
      </c>
      <c r="I763" s="8">
        <f>CHOOSE( CONTROL!$C$32, 21.3857, 21.3847) * CHOOSE(CONTROL!$C$15, $D$11, 100%, $F$11)</f>
        <v>21.3857</v>
      </c>
      <c r="J763" s="4">
        <f>CHOOSE( CONTROL!$C$32, 21.2302, 21.2291) * CHOOSE(CONTROL!$C$15, $D$11, 100%, $F$11)</f>
        <v>21.2302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64405</v>
      </c>
      <c r="B764" s="8">
        <f>CHOOSE( CONTROL!$C$32, 22.2177, 22.2167) * CHOOSE(CONTROL!$C$15, $D$11, 100%, $F$11)</f>
        <v>22.217700000000001</v>
      </c>
      <c r="C764" s="8">
        <f>CHOOSE( CONTROL!$C$32, 22.2222, 22.2212) * CHOOSE(CONTROL!$C$15, $D$11, 100%, $F$11)</f>
        <v>22.222200000000001</v>
      </c>
      <c r="D764" s="8">
        <f>CHOOSE( CONTROL!$C$32, 22.2251, 22.224) * CHOOSE( CONTROL!$C$15, $D$11, 100%, $F$11)</f>
        <v>22.225100000000001</v>
      </c>
      <c r="E764" s="12">
        <f>CHOOSE( CONTROL!$C$32, 22.2236, 22.2226) * CHOOSE( CONTROL!$C$15, $D$11, 100%, $F$11)</f>
        <v>22.223600000000001</v>
      </c>
      <c r="F764" s="4">
        <f>CHOOSE( CONTROL!$C$32, 22.926, 22.925) * CHOOSE(CONTROL!$C$15, $D$11, 100%, $F$11)</f>
        <v>22.925999999999998</v>
      </c>
      <c r="G764" s="8">
        <f>CHOOSE( CONTROL!$C$32, 21.9688, 21.9678) * CHOOSE( CONTROL!$C$15, $D$11, 100%, $F$11)</f>
        <v>21.968800000000002</v>
      </c>
      <c r="H764" s="4">
        <f>CHOOSE( CONTROL!$C$32, 22.9042, 22.9031) * CHOOSE(CONTROL!$C$15, $D$11, 100%, $F$11)</f>
        <v>22.904199999999999</v>
      </c>
      <c r="I764" s="8">
        <f>CHOOSE( CONTROL!$C$32, 21.6808, 21.6797) * CHOOSE(CONTROL!$C$15, $D$11, 100%, $F$11)</f>
        <v>21.680800000000001</v>
      </c>
      <c r="J764" s="4">
        <f>CHOOSE( CONTROL!$C$32, 21.5528, 21.5518) * CHOOSE(CONTROL!$C$15, $D$11, 100%, $F$11)</f>
        <v>21.552800000000001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1.2509999999999999</v>
      </c>
      <c r="Q764" s="9">
        <v>19.053000000000001</v>
      </c>
      <c r="R764" s="9"/>
      <c r="S764" s="11"/>
    </row>
    <row r="765" spans="1:19" ht="15.75">
      <c r="A765" s="13">
        <v>64436</v>
      </c>
      <c r="B765" s="8">
        <f>CHOOSE( CONTROL!$C$32, 22.8114, 22.8097) * CHOOSE(CONTROL!$C$15, $D$11, 100%, $F$11)</f>
        <v>22.811399999999999</v>
      </c>
      <c r="C765" s="8">
        <f>CHOOSE( CONTROL!$C$32, 22.8194, 22.8177) * CHOOSE(CONTROL!$C$15, $D$11, 100%, $F$11)</f>
        <v>22.819400000000002</v>
      </c>
      <c r="D765" s="8">
        <f>CHOOSE( CONTROL!$C$32, 22.8161, 22.8144) * CHOOSE( CONTROL!$C$15, $D$11, 100%, $F$11)</f>
        <v>22.816099999999999</v>
      </c>
      <c r="E765" s="12">
        <f>CHOOSE( CONTROL!$C$32, 22.8161, 22.8144) * CHOOSE( CONTROL!$C$15, $D$11, 100%, $F$11)</f>
        <v>22.816099999999999</v>
      </c>
      <c r="F765" s="4">
        <f>CHOOSE( CONTROL!$C$32, 23.5183, 23.5167) * CHOOSE(CONTROL!$C$15, $D$11, 100%, $F$11)</f>
        <v>23.5183</v>
      </c>
      <c r="G765" s="8">
        <f>CHOOSE( CONTROL!$C$32, 22.5541, 22.5524) * CHOOSE( CONTROL!$C$15, $D$11, 100%, $F$11)</f>
        <v>22.554099999999998</v>
      </c>
      <c r="H765" s="4">
        <f>CHOOSE( CONTROL!$C$32, 23.4896, 23.4879) * CHOOSE(CONTROL!$C$15, $D$11, 100%, $F$11)</f>
        <v>23.489599999999999</v>
      </c>
      <c r="I765" s="8">
        <f>CHOOSE( CONTROL!$C$32, 22.2552, 22.2536) * CHOOSE(CONTROL!$C$15, $D$11, 100%, $F$11)</f>
        <v>22.255199999999999</v>
      </c>
      <c r="J765" s="4">
        <f>CHOOSE( CONTROL!$C$32, 22.1276, 22.126) * CHOOSE(CONTROL!$C$15, $D$11, 100%, $F$11)</f>
        <v>22.127600000000001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1.2927</v>
      </c>
      <c r="Q765" s="9">
        <v>19.688099999999999</v>
      </c>
      <c r="R765" s="9"/>
      <c r="S765" s="11"/>
    </row>
    <row r="766" spans="1:19" ht="15.75">
      <c r="A766" s="13">
        <v>64466</v>
      </c>
      <c r="B766" s="8">
        <f>CHOOSE( CONTROL!$C$32, 22.4448, 22.4432) * CHOOSE(CONTROL!$C$15, $D$11, 100%, $F$11)</f>
        <v>22.444800000000001</v>
      </c>
      <c r="C766" s="8">
        <f>CHOOSE( CONTROL!$C$32, 22.4528, 22.4512) * CHOOSE(CONTROL!$C$15, $D$11, 100%, $F$11)</f>
        <v>22.4528</v>
      </c>
      <c r="D766" s="8">
        <f>CHOOSE( CONTROL!$C$32, 22.4498, 22.4481) * CHOOSE( CONTROL!$C$15, $D$11, 100%, $F$11)</f>
        <v>22.4498</v>
      </c>
      <c r="E766" s="12">
        <f>CHOOSE( CONTROL!$C$32, 22.4497, 22.448) * CHOOSE( CONTROL!$C$15, $D$11, 100%, $F$11)</f>
        <v>22.4497</v>
      </c>
      <c r="F766" s="4">
        <f>CHOOSE( CONTROL!$C$32, 23.1518, 23.1501) * CHOOSE(CONTROL!$C$15, $D$11, 100%, $F$11)</f>
        <v>23.151800000000001</v>
      </c>
      <c r="G766" s="8">
        <f>CHOOSE( CONTROL!$C$32, 22.192, 22.1903) * CHOOSE( CONTROL!$C$15, $D$11, 100%, $F$11)</f>
        <v>22.192</v>
      </c>
      <c r="H766" s="4">
        <f>CHOOSE( CONTROL!$C$32, 23.1273, 23.1257) * CHOOSE(CONTROL!$C$15, $D$11, 100%, $F$11)</f>
        <v>23.127300000000002</v>
      </c>
      <c r="I766" s="8">
        <f>CHOOSE( CONTROL!$C$32, 21.9, 21.8984) * CHOOSE(CONTROL!$C$15, $D$11, 100%, $F$11)</f>
        <v>21.9</v>
      </c>
      <c r="J766" s="4">
        <f>CHOOSE( CONTROL!$C$32, 21.7719, 21.7703) * CHOOSE(CONTROL!$C$15, $D$11, 100%, $F$11)</f>
        <v>21.771899999999999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1.2509999999999999</v>
      </c>
      <c r="Q766" s="9">
        <v>19.053000000000001</v>
      </c>
      <c r="R766" s="9"/>
      <c r="S766" s="11"/>
    </row>
    <row r="767" spans="1:19" ht="15.75">
      <c r="A767" s="13">
        <v>64497</v>
      </c>
      <c r="B767" s="8">
        <f>CHOOSE( CONTROL!$C$32, 23.4101, 23.4084) * CHOOSE(CONTROL!$C$15, $D$11, 100%, $F$11)</f>
        <v>23.4101</v>
      </c>
      <c r="C767" s="8">
        <f>CHOOSE( CONTROL!$C$32, 23.4181, 23.4164) * CHOOSE(CONTROL!$C$15, $D$11, 100%, $F$11)</f>
        <v>23.418099999999999</v>
      </c>
      <c r="D767" s="8">
        <f>CHOOSE( CONTROL!$C$32, 23.4153, 23.4136) * CHOOSE( CONTROL!$C$15, $D$11, 100%, $F$11)</f>
        <v>23.415299999999998</v>
      </c>
      <c r="E767" s="12">
        <f>CHOOSE( CONTROL!$C$32, 23.4151, 23.4134) * CHOOSE( CONTROL!$C$15, $D$11, 100%, $F$11)</f>
        <v>23.415099999999999</v>
      </c>
      <c r="F767" s="4">
        <f>CHOOSE( CONTROL!$C$32, 24.117, 24.1154) * CHOOSE(CONTROL!$C$15, $D$11, 100%, $F$11)</f>
        <v>24.117000000000001</v>
      </c>
      <c r="G767" s="8">
        <f>CHOOSE( CONTROL!$C$32, 23.1461, 23.1445) * CHOOSE( CONTROL!$C$15, $D$11, 100%, $F$11)</f>
        <v>23.146100000000001</v>
      </c>
      <c r="H767" s="4">
        <f>CHOOSE( CONTROL!$C$32, 24.0813, 24.0796) * CHOOSE(CONTROL!$C$15, $D$11, 100%, $F$11)</f>
        <v>24.081299999999999</v>
      </c>
      <c r="I767" s="8">
        <f>CHOOSE( CONTROL!$C$32, 22.8381, 22.8365) * CHOOSE(CONTROL!$C$15, $D$11, 100%, $F$11)</f>
        <v>22.838100000000001</v>
      </c>
      <c r="J767" s="4">
        <f>CHOOSE( CONTROL!$C$32, 22.7087, 22.7071) * CHOOSE(CONTROL!$C$15, $D$11, 100%, $F$11)</f>
        <v>22.7087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1.2927</v>
      </c>
      <c r="Q767" s="9">
        <v>19.688099999999999</v>
      </c>
      <c r="R767" s="9"/>
      <c r="S767" s="11"/>
    </row>
    <row r="768" spans="1:19" ht="15.75">
      <c r="A768" s="13">
        <v>64528</v>
      </c>
      <c r="B768" s="8">
        <f>CHOOSE( CONTROL!$C$32, 21.604, 21.6023) * CHOOSE(CONTROL!$C$15, $D$11, 100%, $F$11)</f>
        <v>21.603999999999999</v>
      </c>
      <c r="C768" s="8">
        <f>CHOOSE( CONTROL!$C$32, 21.612, 21.6103) * CHOOSE(CONTROL!$C$15, $D$11, 100%, $F$11)</f>
        <v>21.611999999999998</v>
      </c>
      <c r="D768" s="8">
        <f>CHOOSE( CONTROL!$C$32, 21.6093, 21.6076) * CHOOSE( CONTROL!$C$15, $D$11, 100%, $F$11)</f>
        <v>21.609300000000001</v>
      </c>
      <c r="E768" s="12">
        <f>CHOOSE( CONTROL!$C$32, 21.6091, 21.6074) * CHOOSE( CONTROL!$C$15, $D$11, 100%, $F$11)</f>
        <v>21.609100000000002</v>
      </c>
      <c r="F768" s="4">
        <f>CHOOSE( CONTROL!$C$32, 22.3109, 22.3093) * CHOOSE(CONTROL!$C$15, $D$11, 100%, $F$11)</f>
        <v>22.3109</v>
      </c>
      <c r="G768" s="8">
        <f>CHOOSE( CONTROL!$C$32, 21.3613, 21.3596) * CHOOSE( CONTROL!$C$15, $D$11, 100%, $F$11)</f>
        <v>21.3613</v>
      </c>
      <c r="H768" s="4">
        <f>CHOOSE( CONTROL!$C$32, 22.2963, 22.2947) * CHOOSE(CONTROL!$C$15, $D$11, 100%, $F$11)</f>
        <v>22.296299999999999</v>
      </c>
      <c r="I768" s="8">
        <f>CHOOSE( CONTROL!$C$32, 21.0848, 21.0832) * CHOOSE(CONTROL!$C$15, $D$11, 100%, $F$11)</f>
        <v>21.084800000000001</v>
      </c>
      <c r="J768" s="4">
        <f>CHOOSE( CONTROL!$C$32, 20.9559, 20.9543) * CHOOSE(CONTROL!$C$15, $D$11, 100%, $F$11)</f>
        <v>20.9559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1.2927</v>
      </c>
      <c r="Q768" s="9">
        <v>19.688099999999999</v>
      </c>
      <c r="R768" s="9"/>
      <c r="S768" s="11"/>
    </row>
    <row r="769" spans="1:19" ht="15.75">
      <c r="A769" s="13">
        <v>64558</v>
      </c>
      <c r="B769" s="8">
        <f>CHOOSE( CONTROL!$C$32, 21.1517, 21.1501) * CHOOSE(CONTROL!$C$15, $D$11, 100%, $F$11)</f>
        <v>21.151700000000002</v>
      </c>
      <c r="C769" s="8">
        <f>CHOOSE( CONTROL!$C$32, 21.1597, 21.158) * CHOOSE(CONTROL!$C$15, $D$11, 100%, $F$11)</f>
        <v>21.159700000000001</v>
      </c>
      <c r="D769" s="8">
        <f>CHOOSE( CONTROL!$C$32, 21.157, 21.1553) * CHOOSE( CONTROL!$C$15, $D$11, 100%, $F$11)</f>
        <v>21.157</v>
      </c>
      <c r="E769" s="12">
        <f>CHOOSE( CONTROL!$C$32, 21.1568, 21.1551) * CHOOSE( CONTROL!$C$15, $D$11, 100%, $F$11)</f>
        <v>21.1568</v>
      </c>
      <c r="F769" s="4">
        <f>CHOOSE( CONTROL!$C$32, 21.8587, 21.857) * CHOOSE(CONTROL!$C$15, $D$11, 100%, $F$11)</f>
        <v>21.858699999999999</v>
      </c>
      <c r="G769" s="8">
        <f>CHOOSE( CONTROL!$C$32, 20.9142, 20.9126) * CHOOSE( CONTROL!$C$15, $D$11, 100%, $F$11)</f>
        <v>20.914200000000001</v>
      </c>
      <c r="H769" s="4">
        <f>CHOOSE( CONTROL!$C$32, 21.8493, 21.8477) * CHOOSE(CONTROL!$C$15, $D$11, 100%, $F$11)</f>
        <v>21.849299999999999</v>
      </c>
      <c r="I769" s="8">
        <f>CHOOSE( CONTROL!$C$32, 20.6455, 20.6438) * CHOOSE(CONTROL!$C$15, $D$11, 100%, $F$11)</f>
        <v>20.645499999999998</v>
      </c>
      <c r="J769" s="4">
        <f>CHOOSE( CONTROL!$C$32, 20.5169, 20.5153) * CHOOSE(CONTROL!$C$15, $D$11, 100%, $F$11)</f>
        <v>20.5169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1.2509999999999999</v>
      </c>
      <c r="Q769" s="9">
        <v>19.053000000000001</v>
      </c>
      <c r="R769" s="9"/>
      <c r="S769" s="11"/>
    </row>
    <row r="770" spans="1:19" ht="15.75">
      <c r="A770" s="13">
        <v>64589</v>
      </c>
      <c r="B770" s="8">
        <f>CHOOSE( CONTROL!$C$32, 22.0885, 22.0874) * CHOOSE(CONTROL!$C$15, $D$11, 100%, $F$11)</f>
        <v>22.0885</v>
      </c>
      <c r="C770" s="8">
        <f>CHOOSE( CONTROL!$C$32, 22.0938, 22.0927) * CHOOSE(CONTROL!$C$15, $D$11, 100%, $F$11)</f>
        <v>22.093800000000002</v>
      </c>
      <c r="D770" s="8">
        <f>CHOOSE( CONTROL!$C$32, 22.0967, 22.0956) * CHOOSE( CONTROL!$C$15, $D$11, 100%, $F$11)</f>
        <v>22.096699999999998</v>
      </c>
      <c r="E770" s="12">
        <f>CHOOSE( CONTROL!$C$32, 22.0952, 22.0941) * CHOOSE( CONTROL!$C$15, $D$11, 100%, $F$11)</f>
        <v>22.095199999999998</v>
      </c>
      <c r="F770" s="4">
        <f>CHOOSE( CONTROL!$C$32, 22.7972, 22.7961) * CHOOSE(CONTROL!$C$15, $D$11, 100%, $F$11)</f>
        <v>22.7972</v>
      </c>
      <c r="G770" s="8">
        <f>CHOOSE( CONTROL!$C$32, 21.8419, 21.8408) * CHOOSE( CONTROL!$C$15, $D$11, 100%, $F$11)</f>
        <v>21.841899999999999</v>
      </c>
      <c r="H770" s="4">
        <f>CHOOSE( CONTROL!$C$32, 22.7768, 22.7758) * CHOOSE(CONTROL!$C$15, $D$11, 100%, $F$11)</f>
        <v>22.776800000000001</v>
      </c>
      <c r="I770" s="8">
        <f>CHOOSE( CONTROL!$C$32, 21.5575, 21.5565) * CHOOSE(CONTROL!$C$15, $D$11, 100%, $F$11)</f>
        <v>21.557500000000001</v>
      </c>
      <c r="J770" s="4">
        <f>CHOOSE( CONTROL!$C$32, 21.4277, 21.4267) * CHOOSE(CONTROL!$C$15, $D$11, 100%, $F$11)</f>
        <v>21.427700000000002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1.2927</v>
      </c>
      <c r="Q770" s="9">
        <v>19.688099999999999</v>
      </c>
      <c r="R770" s="9"/>
      <c r="S770" s="11"/>
    </row>
    <row r="771" spans="1:19" ht="15.75">
      <c r="A771" s="13">
        <v>64619</v>
      </c>
      <c r="B771" s="8">
        <f>CHOOSE( CONTROL!$C$32, 23.8214, 23.8203) * CHOOSE(CONTROL!$C$15, $D$11, 100%, $F$11)</f>
        <v>23.821400000000001</v>
      </c>
      <c r="C771" s="8">
        <f>CHOOSE( CONTROL!$C$32, 23.8265, 23.8254) * CHOOSE(CONTROL!$C$15, $D$11, 100%, $F$11)</f>
        <v>23.826499999999999</v>
      </c>
      <c r="D771" s="8">
        <f>CHOOSE( CONTROL!$C$32, 23.8087, 23.8076) * CHOOSE( CONTROL!$C$15, $D$11, 100%, $F$11)</f>
        <v>23.808700000000002</v>
      </c>
      <c r="E771" s="12">
        <f>CHOOSE( CONTROL!$C$32, 23.8147, 23.8136) * CHOOSE( CONTROL!$C$15, $D$11, 100%, $F$11)</f>
        <v>23.814699999999998</v>
      </c>
      <c r="F771" s="4">
        <f>CHOOSE( CONTROL!$C$32, 24.4867, 24.4856) * CHOOSE(CONTROL!$C$15, $D$11, 100%, $F$11)</f>
        <v>24.486699999999999</v>
      </c>
      <c r="G771" s="8">
        <f>CHOOSE( CONTROL!$C$32, 23.554, 23.553) * CHOOSE( CONTROL!$C$15, $D$11, 100%, $F$11)</f>
        <v>23.553999999999998</v>
      </c>
      <c r="H771" s="4">
        <f>CHOOSE( CONTROL!$C$32, 24.4466, 24.4455) * CHOOSE(CONTROL!$C$15, $D$11, 100%, $F$11)</f>
        <v>24.4466</v>
      </c>
      <c r="I771" s="8">
        <f>CHOOSE( CONTROL!$C$32, 23.3023, 23.3013) * CHOOSE(CONTROL!$C$15, $D$11, 100%, $F$11)</f>
        <v>23.302299999999999</v>
      </c>
      <c r="J771" s="4">
        <f>CHOOSE( CONTROL!$C$32, 23.1099, 23.1089) * CHOOSE(CONTROL!$C$15, $D$11, 100%, $F$11)</f>
        <v>23.1099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64650</v>
      </c>
      <c r="B772" s="8">
        <f>CHOOSE( CONTROL!$C$32, 23.7781, 23.777) * CHOOSE(CONTROL!$C$15, $D$11, 100%, $F$11)</f>
        <v>23.778099999999998</v>
      </c>
      <c r="C772" s="8">
        <f>CHOOSE( CONTROL!$C$32, 23.7832, 23.7821) * CHOOSE(CONTROL!$C$15, $D$11, 100%, $F$11)</f>
        <v>23.783200000000001</v>
      </c>
      <c r="D772" s="8">
        <f>CHOOSE( CONTROL!$C$32, 23.7668, 23.7657) * CHOOSE( CONTROL!$C$15, $D$11, 100%, $F$11)</f>
        <v>23.7668</v>
      </c>
      <c r="E772" s="12">
        <f>CHOOSE( CONTROL!$C$32, 23.7723, 23.7712) * CHOOSE( CONTROL!$C$15, $D$11, 100%, $F$11)</f>
        <v>23.772300000000001</v>
      </c>
      <c r="F772" s="4">
        <f>CHOOSE( CONTROL!$C$32, 24.4434, 24.4423) * CHOOSE(CONTROL!$C$15, $D$11, 100%, $F$11)</f>
        <v>24.4434</v>
      </c>
      <c r="G772" s="8">
        <f>CHOOSE( CONTROL!$C$32, 23.5123, 23.5112) * CHOOSE( CONTROL!$C$15, $D$11, 100%, $F$11)</f>
        <v>23.5123</v>
      </c>
      <c r="H772" s="4">
        <f>CHOOSE( CONTROL!$C$32, 24.4038, 24.4027) * CHOOSE(CONTROL!$C$15, $D$11, 100%, $F$11)</f>
        <v>24.4038</v>
      </c>
      <c r="I772" s="8">
        <f>CHOOSE( CONTROL!$C$32, 23.2647, 23.2637) * CHOOSE(CONTROL!$C$15, $D$11, 100%, $F$11)</f>
        <v>23.264700000000001</v>
      </c>
      <c r="J772" s="4">
        <f>CHOOSE( CONTROL!$C$32, 23.0679, 23.0669) * CHOOSE(CONTROL!$C$15, $D$11, 100%, $F$11)</f>
        <v>23.067900000000002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64681</v>
      </c>
      <c r="B773" s="8">
        <f>CHOOSE( CONTROL!$C$32, 24.4792, 24.4781) * CHOOSE(CONTROL!$C$15, $D$11, 100%, $F$11)</f>
        <v>24.479199999999999</v>
      </c>
      <c r="C773" s="8">
        <f>CHOOSE( CONTROL!$C$32, 24.4843, 24.4832) * CHOOSE(CONTROL!$C$15, $D$11, 100%, $F$11)</f>
        <v>24.484300000000001</v>
      </c>
      <c r="D773" s="8">
        <f>CHOOSE( CONTROL!$C$32, 24.463, 24.4619) * CHOOSE( CONTROL!$C$15, $D$11, 100%, $F$11)</f>
        <v>24.463000000000001</v>
      </c>
      <c r="E773" s="12">
        <f>CHOOSE( CONTROL!$C$32, 24.4702, 24.4691) * CHOOSE( CONTROL!$C$15, $D$11, 100%, $F$11)</f>
        <v>24.470199999999998</v>
      </c>
      <c r="F773" s="4">
        <f>CHOOSE( CONTROL!$C$32, 25.1445, 25.1434) * CHOOSE(CONTROL!$C$15, $D$11, 100%, $F$11)</f>
        <v>25.144500000000001</v>
      </c>
      <c r="G773" s="8">
        <f>CHOOSE( CONTROL!$C$32, 24.1946, 24.1936) * CHOOSE( CONTROL!$C$15, $D$11, 100%, $F$11)</f>
        <v>24.194600000000001</v>
      </c>
      <c r="H773" s="4">
        <f>CHOOSE( CONTROL!$C$32, 25.0967, 25.0956) * CHOOSE(CONTROL!$C$15, $D$11, 100%, $F$11)</f>
        <v>25.096699999999998</v>
      </c>
      <c r="I773" s="8">
        <f>CHOOSE( CONTROL!$C$32, 23.9075, 23.9065) * CHOOSE(CONTROL!$C$15, $D$11, 100%, $F$11)</f>
        <v>23.907499999999999</v>
      </c>
      <c r="J773" s="4">
        <f>CHOOSE( CONTROL!$C$32, 23.7483, 23.7472) * CHOOSE(CONTROL!$C$15, $D$11, 100%, $F$11)</f>
        <v>23.7483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64709</v>
      </c>
      <c r="B774" s="8">
        <f>CHOOSE( CONTROL!$C$32, 22.8973, 22.8962) * CHOOSE(CONTROL!$C$15, $D$11, 100%, $F$11)</f>
        <v>22.897300000000001</v>
      </c>
      <c r="C774" s="8">
        <f>CHOOSE( CONTROL!$C$32, 22.9024, 22.9013) * CHOOSE(CONTROL!$C$15, $D$11, 100%, $F$11)</f>
        <v>22.9024</v>
      </c>
      <c r="D774" s="8">
        <f>CHOOSE( CONTROL!$C$32, 22.881, 22.8799) * CHOOSE( CONTROL!$C$15, $D$11, 100%, $F$11)</f>
        <v>22.881</v>
      </c>
      <c r="E774" s="12">
        <f>CHOOSE( CONTROL!$C$32, 22.8883, 22.8872) * CHOOSE( CONTROL!$C$15, $D$11, 100%, $F$11)</f>
        <v>22.888300000000001</v>
      </c>
      <c r="F774" s="4">
        <f>CHOOSE( CONTROL!$C$32, 23.5626, 23.5615) * CHOOSE(CONTROL!$C$15, $D$11, 100%, $F$11)</f>
        <v>23.5626</v>
      </c>
      <c r="G774" s="8">
        <f>CHOOSE( CONTROL!$C$32, 22.6312, 22.6301) * CHOOSE( CONTROL!$C$15, $D$11, 100%, $F$11)</f>
        <v>22.6312</v>
      </c>
      <c r="H774" s="4">
        <f>CHOOSE( CONTROL!$C$32, 23.5333, 23.5322) * CHOOSE(CONTROL!$C$15, $D$11, 100%, $F$11)</f>
        <v>23.533300000000001</v>
      </c>
      <c r="I774" s="8">
        <f>CHOOSE( CONTROL!$C$32, 22.3711, 22.3701) * CHOOSE(CONTROL!$C$15, $D$11, 100%, $F$11)</f>
        <v>22.371099999999998</v>
      </c>
      <c r="J774" s="4">
        <f>CHOOSE( CONTROL!$C$32, 22.2131, 22.212) * CHOOSE(CONTROL!$C$15, $D$11, 100%, $F$11)</f>
        <v>22.213100000000001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64740</v>
      </c>
      <c r="B775" s="8">
        <f>CHOOSE( CONTROL!$C$32, 22.4101, 22.409) * CHOOSE(CONTROL!$C$15, $D$11, 100%, $F$11)</f>
        <v>22.4101</v>
      </c>
      <c r="C775" s="8">
        <f>CHOOSE( CONTROL!$C$32, 22.4152, 22.4141) * CHOOSE(CONTROL!$C$15, $D$11, 100%, $F$11)</f>
        <v>22.415199999999999</v>
      </c>
      <c r="D775" s="8">
        <f>CHOOSE( CONTROL!$C$32, 22.3931, 22.392) * CHOOSE( CONTROL!$C$15, $D$11, 100%, $F$11)</f>
        <v>22.3931</v>
      </c>
      <c r="E775" s="12">
        <f>CHOOSE( CONTROL!$C$32, 22.4006, 22.3995) * CHOOSE( CONTROL!$C$15, $D$11, 100%, $F$11)</f>
        <v>22.400600000000001</v>
      </c>
      <c r="F775" s="4">
        <f>CHOOSE( CONTROL!$C$32, 23.0754, 23.0743) * CHOOSE(CONTROL!$C$15, $D$11, 100%, $F$11)</f>
        <v>23.075399999999998</v>
      </c>
      <c r="G775" s="8">
        <f>CHOOSE( CONTROL!$C$32, 22.1492, 22.1481) * CHOOSE( CONTROL!$C$15, $D$11, 100%, $F$11)</f>
        <v>22.1492</v>
      </c>
      <c r="H775" s="4">
        <f>CHOOSE( CONTROL!$C$32, 23.0518, 23.0507) * CHOOSE(CONTROL!$C$15, $D$11, 100%, $F$11)</f>
        <v>23.0518</v>
      </c>
      <c r="I775" s="8">
        <f>CHOOSE( CONTROL!$C$32, 21.8961, 21.895) * CHOOSE(CONTROL!$C$15, $D$11, 100%, $F$11)</f>
        <v>21.896100000000001</v>
      </c>
      <c r="J775" s="4">
        <f>CHOOSE( CONTROL!$C$32, 21.7402, 21.7392) * CHOOSE(CONTROL!$C$15, $D$11, 100%, $F$11)</f>
        <v>21.740200000000002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64770</v>
      </c>
      <c r="B776" s="8">
        <f>CHOOSE( CONTROL!$C$32, 22.7513, 22.7502) * CHOOSE(CONTROL!$C$15, $D$11, 100%, $F$11)</f>
        <v>22.751300000000001</v>
      </c>
      <c r="C776" s="8">
        <f>CHOOSE( CONTROL!$C$32, 22.7558, 22.7547) * CHOOSE(CONTROL!$C$15, $D$11, 100%, $F$11)</f>
        <v>22.755800000000001</v>
      </c>
      <c r="D776" s="8">
        <f>CHOOSE( CONTROL!$C$32, 22.7587, 22.7576) * CHOOSE( CONTROL!$C$15, $D$11, 100%, $F$11)</f>
        <v>22.758700000000001</v>
      </c>
      <c r="E776" s="12">
        <f>CHOOSE( CONTROL!$C$32, 22.7572, 22.7561) * CHOOSE( CONTROL!$C$15, $D$11, 100%, $F$11)</f>
        <v>22.757200000000001</v>
      </c>
      <c r="F776" s="4">
        <f>CHOOSE( CONTROL!$C$32, 23.4596, 23.4585) * CHOOSE(CONTROL!$C$15, $D$11, 100%, $F$11)</f>
        <v>23.459599999999998</v>
      </c>
      <c r="G776" s="8">
        <f>CHOOSE( CONTROL!$C$32, 22.4962, 22.4951) * CHOOSE( CONTROL!$C$15, $D$11, 100%, $F$11)</f>
        <v>22.496200000000002</v>
      </c>
      <c r="H776" s="4">
        <f>CHOOSE( CONTROL!$C$32, 23.4315, 23.4305) * CHOOSE(CONTROL!$C$15, $D$11, 100%, $F$11)</f>
        <v>23.4315</v>
      </c>
      <c r="I776" s="8">
        <f>CHOOSE( CONTROL!$C$32, 22.1989, 22.1978) * CHOOSE(CONTROL!$C$15, $D$11, 100%, $F$11)</f>
        <v>22.198899999999998</v>
      </c>
      <c r="J776" s="4">
        <f>CHOOSE( CONTROL!$C$32, 22.0707, 22.0696) * CHOOSE(CONTROL!$C$15, $D$11, 100%, $F$11)</f>
        <v>22.070699999999999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1.2509999999999999</v>
      </c>
      <c r="Q776" s="9">
        <v>19.053000000000001</v>
      </c>
      <c r="R776" s="9"/>
      <c r="S776" s="11"/>
    </row>
    <row r="777" spans="1:19" ht="15.75">
      <c r="A777" s="13">
        <v>64801</v>
      </c>
      <c r="B777" s="8">
        <f>CHOOSE( CONTROL!$C$32, 23.3592, 23.3575) * CHOOSE(CONTROL!$C$15, $D$11, 100%, $F$11)</f>
        <v>23.359200000000001</v>
      </c>
      <c r="C777" s="8">
        <f>CHOOSE( CONTROL!$C$32, 23.3672, 23.3655) * CHOOSE(CONTROL!$C$15, $D$11, 100%, $F$11)</f>
        <v>23.3672</v>
      </c>
      <c r="D777" s="8">
        <f>CHOOSE( CONTROL!$C$32, 23.3639, 23.3622) * CHOOSE( CONTROL!$C$15, $D$11, 100%, $F$11)</f>
        <v>23.363900000000001</v>
      </c>
      <c r="E777" s="12">
        <f>CHOOSE( CONTROL!$C$32, 23.3639, 23.3622) * CHOOSE( CONTROL!$C$15, $D$11, 100%, $F$11)</f>
        <v>23.363900000000001</v>
      </c>
      <c r="F777" s="4">
        <f>CHOOSE( CONTROL!$C$32, 24.0661, 24.0645) * CHOOSE(CONTROL!$C$15, $D$11, 100%, $F$11)</f>
        <v>24.066099999999999</v>
      </c>
      <c r="G777" s="8">
        <f>CHOOSE( CONTROL!$C$32, 23.0954, 23.0938) * CHOOSE( CONTROL!$C$15, $D$11, 100%, $F$11)</f>
        <v>23.095400000000001</v>
      </c>
      <c r="H777" s="4">
        <f>CHOOSE( CONTROL!$C$32, 24.0309, 24.0293) * CHOOSE(CONTROL!$C$15, $D$11, 100%, $F$11)</f>
        <v>24.030899999999999</v>
      </c>
      <c r="I777" s="8">
        <f>CHOOSE( CONTROL!$C$32, 22.7871, 22.7855) * CHOOSE(CONTROL!$C$15, $D$11, 100%, $F$11)</f>
        <v>22.787099999999999</v>
      </c>
      <c r="J777" s="4">
        <f>CHOOSE( CONTROL!$C$32, 22.6593, 22.6577) * CHOOSE(CONTROL!$C$15, $D$11, 100%, $F$11)</f>
        <v>22.659300000000002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1.2927</v>
      </c>
      <c r="Q777" s="9">
        <v>19.688099999999999</v>
      </c>
      <c r="R777" s="9"/>
      <c r="S777" s="11"/>
    </row>
    <row r="778" spans="1:19" ht="15.75">
      <c r="A778" s="13">
        <v>64831</v>
      </c>
      <c r="B778" s="8">
        <f>CHOOSE( CONTROL!$C$32, 22.9838, 22.9822) * CHOOSE(CONTROL!$C$15, $D$11, 100%, $F$11)</f>
        <v>22.983799999999999</v>
      </c>
      <c r="C778" s="8">
        <f>CHOOSE( CONTROL!$C$32, 22.9918, 22.9901) * CHOOSE(CONTROL!$C$15, $D$11, 100%, $F$11)</f>
        <v>22.991800000000001</v>
      </c>
      <c r="D778" s="8">
        <f>CHOOSE( CONTROL!$C$32, 22.9888, 22.9871) * CHOOSE( CONTROL!$C$15, $D$11, 100%, $F$11)</f>
        <v>22.988800000000001</v>
      </c>
      <c r="E778" s="12">
        <f>CHOOSE( CONTROL!$C$32, 22.9887, 22.987) * CHOOSE( CONTROL!$C$15, $D$11, 100%, $F$11)</f>
        <v>22.988700000000001</v>
      </c>
      <c r="F778" s="4">
        <f>CHOOSE( CONTROL!$C$32, 23.6908, 23.6891) * CHOOSE(CONTROL!$C$15, $D$11, 100%, $F$11)</f>
        <v>23.690799999999999</v>
      </c>
      <c r="G778" s="8">
        <f>CHOOSE( CONTROL!$C$32, 22.7247, 22.723) * CHOOSE( CONTROL!$C$15, $D$11, 100%, $F$11)</f>
        <v>22.724699999999999</v>
      </c>
      <c r="H778" s="4">
        <f>CHOOSE( CONTROL!$C$32, 23.66, 23.6583) * CHOOSE(CONTROL!$C$15, $D$11, 100%, $F$11)</f>
        <v>23.66</v>
      </c>
      <c r="I778" s="8">
        <f>CHOOSE( CONTROL!$C$32, 22.4234, 22.4218) * CHOOSE(CONTROL!$C$15, $D$11, 100%, $F$11)</f>
        <v>22.423400000000001</v>
      </c>
      <c r="J778" s="4">
        <f>CHOOSE( CONTROL!$C$32, 22.295, 22.2934) * CHOOSE(CONTROL!$C$15, $D$11, 100%, $F$11)</f>
        <v>22.295000000000002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1.2509999999999999</v>
      </c>
      <c r="Q778" s="9">
        <v>19.053000000000001</v>
      </c>
      <c r="R778" s="9"/>
      <c r="S778" s="11"/>
    </row>
    <row r="779" spans="1:19" ht="15.75">
      <c r="A779" s="13">
        <v>64862</v>
      </c>
      <c r="B779" s="8">
        <f>CHOOSE( CONTROL!$C$32, 23.9723, 23.9706) * CHOOSE(CONTROL!$C$15, $D$11, 100%, $F$11)</f>
        <v>23.972300000000001</v>
      </c>
      <c r="C779" s="8">
        <f>CHOOSE( CONTROL!$C$32, 23.9803, 23.9786) * CHOOSE(CONTROL!$C$15, $D$11, 100%, $F$11)</f>
        <v>23.9803</v>
      </c>
      <c r="D779" s="8">
        <f>CHOOSE( CONTROL!$C$32, 23.9775, 23.9758) * CHOOSE( CONTROL!$C$15, $D$11, 100%, $F$11)</f>
        <v>23.977499999999999</v>
      </c>
      <c r="E779" s="12">
        <f>CHOOSE( CONTROL!$C$32, 23.9773, 23.9756) * CHOOSE( CONTROL!$C$15, $D$11, 100%, $F$11)</f>
        <v>23.9773</v>
      </c>
      <c r="F779" s="4">
        <f>CHOOSE( CONTROL!$C$32, 24.6792, 24.6776) * CHOOSE(CONTROL!$C$15, $D$11, 100%, $F$11)</f>
        <v>24.679200000000002</v>
      </c>
      <c r="G779" s="8">
        <f>CHOOSE( CONTROL!$C$32, 23.7017, 23.7001) * CHOOSE( CONTROL!$C$15, $D$11, 100%, $F$11)</f>
        <v>23.701699999999999</v>
      </c>
      <c r="H779" s="4">
        <f>CHOOSE( CONTROL!$C$32, 24.6368, 24.6352) * CHOOSE(CONTROL!$C$15, $D$11, 100%, $F$11)</f>
        <v>24.636800000000001</v>
      </c>
      <c r="I779" s="8">
        <f>CHOOSE( CONTROL!$C$32, 23.384, 23.3824) * CHOOSE(CONTROL!$C$15, $D$11, 100%, $F$11)</f>
        <v>23.384</v>
      </c>
      <c r="J779" s="4">
        <f>CHOOSE( CONTROL!$C$32, 23.2543, 23.2527) * CHOOSE(CONTROL!$C$15, $D$11, 100%, $F$11)</f>
        <v>23.254300000000001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1.2927</v>
      </c>
      <c r="Q779" s="9">
        <v>19.688099999999999</v>
      </c>
      <c r="R779" s="9"/>
      <c r="S779" s="11"/>
    </row>
    <row r="780" spans="1:19" ht="15.75">
      <c r="A780" s="13">
        <v>64893</v>
      </c>
      <c r="B780" s="8">
        <f>CHOOSE( CONTROL!$C$32, 22.1228, 22.1211) * CHOOSE(CONTROL!$C$15, $D$11, 100%, $F$11)</f>
        <v>22.122800000000002</v>
      </c>
      <c r="C780" s="8">
        <f>CHOOSE( CONTROL!$C$32, 22.1308, 22.1291) * CHOOSE(CONTROL!$C$15, $D$11, 100%, $F$11)</f>
        <v>22.130800000000001</v>
      </c>
      <c r="D780" s="8">
        <f>CHOOSE( CONTROL!$C$32, 22.1281, 22.1264) * CHOOSE( CONTROL!$C$15, $D$11, 100%, $F$11)</f>
        <v>22.1281</v>
      </c>
      <c r="E780" s="12">
        <f>CHOOSE( CONTROL!$C$32, 22.1279, 22.1262) * CHOOSE( CONTROL!$C$15, $D$11, 100%, $F$11)</f>
        <v>22.1279</v>
      </c>
      <c r="F780" s="4">
        <f>CHOOSE( CONTROL!$C$32, 22.8297, 22.8281) * CHOOSE(CONTROL!$C$15, $D$11, 100%, $F$11)</f>
        <v>22.829699999999999</v>
      </c>
      <c r="G780" s="8">
        <f>CHOOSE( CONTROL!$C$32, 21.874, 21.8723) * CHOOSE( CONTROL!$C$15, $D$11, 100%, $F$11)</f>
        <v>21.873999999999999</v>
      </c>
      <c r="H780" s="4">
        <f>CHOOSE( CONTROL!$C$32, 22.809, 22.8074) * CHOOSE(CONTROL!$C$15, $D$11, 100%, $F$11)</f>
        <v>22.809000000000001</v>
      </c>
      <c r="I780" s="8">
        <f>CHOOSE( CONTROL!$C$32, 21.5885, 21.5869) * CHOOSE(CONTROL!$C$15, $D$11, 100%, $F$11)</f>
        <v>21.5885</v>
      </c>
      <c r="J780" s="4">
        <f>CHOOSE( CONTROL!$C$32, 21.4593, 21.4577) * CHOOSE(CONTROL!$C$15, $D$11, 100%, $F$11)</f>
        <v>21.459299999999999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1.2927</v>
      </c>
      <c r="Q780" s="9">
        <v>19.688099999999999</v>
      </c>
      <c r="R780" s="9"/>
      <c r="S780" s="11"/>
    </row>
    <row r="781" spans="1:19" ht="15.75">
      <c r="A781" s="13">
        <v>64923</v>
      </c>
      <c r="B781" s="8">
        <f>CHOOSE( CONTROL!$C$32, 21.6596, 21.658) * CHOOSE(CONTROL!$C$15, $D$11, 100%, $F$11)</f>
        <v>21.659600000000001</v>
      </c>
      <c r="C781" s="8">
        <f>CHOOSE( CONTROL!$C$32, 21.6676, 21.666) * CHOOSE(CONTROL!$C$15, $D$11, 100%, $F$11)</f>
        <v>21.6676</v>
      </c>
      <c r="D781" s="8">
        <f>CHOOSE( CONTROL!$C$32, 21.6649, 21.6632) * CHOOSE( CONTROL!$C$15, $D$11, 100%, $F$11)</f>
        <v>21.664899999999999</v>
      </c>
      <c r="E781" s="12">
        <f>CHOOSE( CONTROL!$C$32, 21.6647, 21.663) * CHOOSE( CONTROL!$C$15, $D$11, 100%, $F$11)</f>
        <v>21.6647</v>
      </c>
      <c r="F781" s="4">
        <f>CHOOSE( CONTROL!$C$32, 22.3666, 22.3649) * CHOOSE(CONTROL!$C$15, $D$11, 100%, $F$11)</f>
        <v>22.366599999999998</v>
      </c>
      <c r="G781" s="8">
        <f>CHOOSE( CONTROL!$C$32, 21.4162, 21.4146) * CHOOSE( CONTROL!$C$15, $D$11, 100%, $F$11)</f>
        <v>21.4162</v>
      </c>
      <c r="H781" s="4">
        <f>CHOOSE( CONTROL!$C$32, 22.3513, 22.3497) * CHOOSE(CONTROL!$C$15, $D$11, 100%, $F$11)</f>
        <v>22.351299999999998</v>
      </c>
      <c r="I781" s="8">
        <f>CHOOSE( CONTROL!$C$32, 21.1386, 21.137) * CHOOSE(CONTROL!$C$15, $D$11, 100%, $F$11)</f>
        <v>21.1386</v>
      </c>
      <c r="J781" s="4">
        <f>CHOOSE( CONTROL!$C$32, 21.0099, 21.0083) * CHOOSE(CONTROL!$C$15, $D$11, 100%, $F$11)</f>
        <v>21.009899999999998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1.2509999999999999</v>
      </c>
      <c r="Q781" s="9">
        <v>19.053000000000001</v>
      </c>
      <c r="R781" s="9"/>
      <c r="S781" s="11"/>
    </row>
    <row r="782" spans="1:19" ht="15.75">
      <c r="A782" s="13">
        <v>64954</v>
      </c>
      <c r="B782" s="8">
        <f>CHOOSE( CONTROL!$C$32, 22.619, 22.6179) * CHOOSE(CONTROL!$C$15, $D$11, 100%, $F$11)</f>
        <v>22.619</v>
      </c>
      <c r="C782" s="8">
        <f>CHOOSE( CONTROL!$C$32, 22.6243, 22.6232) * CHOOSE(CONTROL!$C$15, $D$11, 100%, $F$11)</f>
        <v>22.624300000000002</v>
      </c>
      <c r="D782" s="8">
        <f>CHOOSE( CONTROL!$C$32, 22.6272, 22.6261) * CHOOSE( CONTROL!$C$15, $D$11, 100%, $F$11)</f>
        <v>22.627199999999998</v>
      </c>
      <c r="E782" s="12">
        <f>CHOOSE( CONTROL!$C$32, 22.6257, 22.6246) * CHOOSE( CONTROL!$C$15, $D$11, 100%, $F$11)</f>
        <v>22.625699999999998</v>
      </c>
      <c r="F782" s="4">
        <f>CHOOSE( CONTROL!$C$32, 23.3276, 23.3266) * CHOOSE(CONTROL!$C$15, $D$11, 100%, $F$11)</f>
        <v>23.3276</v>
      </c>
      <c r="G782" s="8">
        <f>CHOOSE( CONTROL!$C$32, 22.3662, 22.3651) * CHOOSE( CONTROL!$C$15, $D$11, 100%, $F$11)</f>
        <v>22.366199999999999</v>
      </c>
      <c r="H782" s="4">
        <f>CHOOSE( CONTROL!$C$32, 23.3011, 23.3) * CHOOSE(CONTROL!$C$15, $D$11, 100%, $F$11)</f>
        <v>23.301100000000002</v>
      </c>
      <c r="I782" s="8">
        <f>CHOOSE( CONTROL!$C$32, 22.0726, 22.0716) * CHOOSE(CONTROL!$C$15, $D$11, 100%, $F$11)</f>
        <v>22.072600000000001</v>
      </c>
      <c r="J782" s="4">
        <f>CHOOSE( CONTROL!$C$32, 21.9426, 21.9415) * CHOOSE(CONTROL!$C$15, $D$11, 100%, $F$11)</f>
        <v>21.942599999999999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1.2927</v>
      </c>
      <c r="Q782" s="9">
        <v>19.688099999999999</v>
      </c>
      <c r="R782" s="9"/>
      <c r="S782" s="11"/>
    </row>
    <row r="783" spans="1:19" ht="15.75">
      <c r="A783" s="13">
        <v>64984</v>
      </c>
      <c r="B783" s="8">
        <f>CHOOSE( CONTROL!$C$32, 24.3935, 24.3925) * CHOOSE(CONTROL!$C$15, $D$11, 100%, $F$11)</f>
        <v>24.3935</v>
      </c>
      <c r="C783" s="8">
        <f>CHOOSE( CONTROL!$C$32, 24.3986, 24.3975) * CHOOSE(CONTROL!$C$15, $D$11, 100%, $F$11)</f>
        <v>24.398599999999998</v>
      </c>
      <c r="D783" s="8">
        <f>CHOOSE( CONTROL!$C$32, 24.3808, 24.3797) * CHOOSE( CONTROL!$C$15, $D$11, 100%, $F$11)</f>
        <v>24.380800000000001</v>
      </c>
      <c r="E783" s="12">
        <f>CHOOSE( CONTROL!$C$32, 24.3868, 24.3857) * CHOOSE( CONTROL!$C$15, $D$11, 100%, $F$11)</f>
        <v>24.386800000000001</v>
      </c>
      <c r="F783" s="4">
        <f>CHOOSE( CONTROL!$C$32, 25.0588, 25.0577) * CHOOSE(CONTROL!$C$15, $D$11, 100%, $F$11)</f>
        <v>25.058800000000002</v>
      </c>
      <c r="G783" s="8">
        <f>CHOOSE( CONTROL!$C$32, 24.1194, 24.1184) * CHOOSE( CONTROL!$C$15, $D$11, 100%, $F$11)</f>
        <v>24.119399999999999</v>
      </c>
      <c r="H783" s="4">
        <f>CHOOSE( CONTROL!$C$32, 25.012, 25.0109) * CHOOSE(CONTROL!$C$15, $D$11, 100%, $F$11)</f>
        <v>25.012</v>
      </c>
      <c r="I783" s="8">
        <f>CHOOSE( CONTROL!$C$32, 23.8578, 23.8568) * CHOOSE(CONTROL!$C$15, $D$11, 100%, $F$11)</f>
        <v>23.857800000000001</v>
      </c>
      <c r="J783" s="4">
        <f>CHOOSE( CONTROL!$C$32, 23.6652, 23.6641) * CHOOSE(CONTROL!$C$15, $D$11, 100%, $F$11)</f>
        <v>23.665199999999999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65015</v>
      </c>
      <c r="B784" s="8">
        <f>CHOOSE( CONTROL!$C$32, 24.3492, 24.3481) * CHOOSE(CONTROL!$C$15, $D$11, 100%, $F$11)</f>
        <v>24.3492</v>
      </c>
      <c r="C784" s="8">
        <f>CHOOSE( CONTROL!$C$32, 24.3543, 24.3532) * CHOOSE(CONTROL!$C$15, $D$11, 100%, $F$11)</f>
        <v>24.354299999999999</v>
      </c>
      <c r="D784" s="8">
        <f>CHOOSE( CONTROL!$C$32, 24.3379, 24.3368) * CHOOSE( CONTROL!$C$15, $D$11, 100%, $F$11)</f>
        <v>24.337900000000001</v>
      </c>
      <c r="E784" s="12">
        <f>CHOOSE( CONTROL!$C$32, 24.3434, 24.3423) * CHOOSE( CONTROL!$C$15, $D$11, 100%, $F$11)</f>
        <v>24.343399999999999</v>
      </c>
      <c r="F784" s="4">
        <f>CHOOSE( CONTROL!$C$32, 25.0145, 25.0134) * CHOOSE(CONTROL!$C$15, $D$11, 100%, $F$11)</f>
        <v>25.014500000000002</v>
      </c>
      <c r="G784" s="8">
        <f>CHOOSE( CONTROL!$C$32, 24.0767, 24.0756) * CHOOSE( CONTROL!$C$15, $D$11, 100%, $F$11)</f>
        <v>24.076699999999999</v>
      </c>
      <c r="H784" s="4">
        <f>CHOOSE( CONTROL!$C$32, 24.9682, 24.9671) * CHOOSE(CONTROL!$C$15, $D$11, 100%, $F$11)</f>
        <v>24.9682</v>
      </c>
      <c r="I784" s="8">
        <f>CHOOSE( CONTROL!$C$32, 23.8192, 23.8182) * CHOOSE(CONTROL!$C$15, $D$11, 100%, $F$11)</f>
        <v>23.819199999999999</v>
      </c>
      <c r="J784" s="4">
        <f>CHOOSE( CONTROL!$C$32, 23.6221, 23.6211) * CHOOSE(CONTROL!$C$15, $D$11, 100%, $F$11)</f>
        <v>23.6221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65046</v>
      </c>
      <c r="B785" s="8">
        <f>CHOOSE( CONTROL!$C$32, 25.0671, 25.066) * CHOOSE(CONTROL!$C$15, $D$11, 100%, $F$11)</f>
        <v>25.0671</v>
      </c>
      <c r="C785" s="8">
        <f>CHOOSE( CONTROL!$C$32, 25.0722, 25.0711) * CHOOSE(CONTROL!$C$15, $D$11, 100%, $F$11)</f>
        <v>25.072199999999999</v>
      </c>
      <c r="D785" s="8">
        <f>CHOOSE( CONTROL!$C$32, 25.0509, 25.0498) * CHOOSE( CONTROL!$C$15, $D$11, 100%, $F$11)</f>
        <v>25.050899999999999</v>
      </c>
      <c r="E785" s="12">
        <f>CHOOSE( CONTROL!$C$32, 25.0581, 25.057) * CHOOSE( CONTROL!$C$15, $D$11, 100%, $F$11)</f>
        <v>25.0581</v>
      </c>
      <c r="F785" s="4">
        <f>CHOOSE( CONTROL!$C$32, 25.7324, 25.7313) * CHOOSE(CONTROL!$C$15, $D$11, 100%, $F$11)</f>
        <v>25.732399999999998</v>
      </c>
      <c r="G785" s="8">
        <f>CHOOSE( CONTROL!$C$32, 24.7757, 24.7746) * CHOOSE( CONTROL!$C$15, $D$11, 100%, $F$11)</f>
        <v>24.775700000000001</v>
      </c>
      <c r="H785" s="4">
        <f>CHOOSE( CONTROL!$C$32, 25.6777, 25.6766) * CHOOSE(CONTROL!$C$15, $D$11, 100%, $F$11)</f>
        <v>25.677700000000002</v>
      </c>
      <c r="I785" s="8">
        <f>CHOOSE( CONTROL!$C$32, 24.4784, 24.4773) * CHOOSE(CONTROL!$C$15, $D$11, 100%, $F$11)</f>
        <v>24.478400000000001</v>
      </c>
      <c r="J785" s="4">
        <f>CHOOSE( CONTROL!$C$32, 24.3189, 24.3178) * CHOOSE(CONTROL!$C$15, $D$11, 100%, $F$11)</f>
        <v>24.318899999999999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65074</v>
      </c>
      <c r="B786" s="8">
        <f>CHOOSE( CONTROL!$C$32, 23.4472, 23.4461) * CHOOSE(CONTROL!$C$15, $D$11, 100%, $F$11)</f>
        <v>23.447199999999999</v>
      </c>
      <c r="C786" s="8">
        <f>CHOOSE( CONTROL!$C$32, 23.4523, 23.4512) * CHOOSE(CONTROL!$C$15, $D$11, 100%, $F$11)</f>
        <v>23.452300000000001</v>
      </c>
      <c r="D786" s="8">
        <f>CHOOSE( CONTROL!$C$32, 23.4309, 23.4298) * CHOOSE( CONTROL!$C$15, $D$11, 100%, $F$11)</f>
        <v>23.430900000000001</v>
      </c>
      <c r="E786" s="12">
        <f>CHOOSE( CONTROL!$C$32, 23.4382, 23.4371) * CHOOSE( CONTROL!$C$15, $D$11, 100%, $F$11)</f>
        <v>23.438199999999998</v>
      </c>
      <c r="F786" s="4">
        <f>CHOOSE( CONTROL!$C$32, 24.1125, 24.1114) * CHOOSE(CONTROL!$C$15, $D$11, 100%, $F$11)</f>
        <v>24.112500000000001</v>
      </c>
      <c r="G786" s="8">
        <f>CHOOSE( CONTROL!$C$32, 23.1747, 23.1736) * CHOOSE( CONTROL!$C$15, $D$11, 100%, $F$11)</f>
        <v>23.174700000000001</v>
      </c>
      <c r="H786" s="4">
        <f>CHOOSE( CONTROL!$C$32, 24.0768, 24.0757) * CHOOSE(CONTROL!$C$15, $D$11, 100%, $F$11)</f>
        <v>24.076799999999999</v>
      </c>
      <c r="I786" s="8">
        <f>CHOOSE( CONTROL!$C$32, 22.9051, 22.904) * CHOOSE(CONTROL!$C$15, $D$11, 100%, $F$11)</f>
        <v>22.905100000000001</v>
      </c>
      <c r="J786" s="4">
        <f>CHOOSE( CONTROL!$C$32, 22.7468, 22.7457) * CHOOSE(CONTROL!$C$15, $D$11, 100%, $F$11)</f>
        <v>22.7468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65105</v>
      </c>
      <c r="B787" s="8">
        <f>CHOOSE( CONTROL!$C$32, 22.9483, 22.9472) * CHOOSE(CONTROL!$C$15, $D$11, 100%, $F$11)</f>
        <v>22.9483</v>
      </c>
      <c r="C787" s="8">
        <f>CHOOSE( CONTROL!$C$32, 22.9534, 22.9523) * CHOOSE(CONTROL!$C$15, $D$11, 100%, $F$11)</f>
        <v>22.953399999999998</v>
      </c>
      <c r="D787" s="8">
        <f>CHOOSE( CONTROL!$C$32, 22.9313, 22.9302) * CHOOSE( CONTROL!$C$15, $D$11, 100%, $F$11)</f>
        <v>22.9313</v>
      </c>
      <c r="E787" s="12">
        <f>CHOOSE( CONTROL!$C$32, 22.9388, 22.9377) * CHOOSE( CONTROL!$C$15, $D$11, 100%, $F$11)</f>
        <v>22.938800000000001</v>
      </c>
      <c r="F787" s="4">
        <f>CHOOSE( CONTROL!$C$32, 23.6136, 23.6125) * CHOOSE(CONTROL!$C$15, $D$11, 100%, $F$11)</f>
        <v>23.613600000000002</v>
      </c>
      <c r="G787" s="8">
        <f>CHOOSE( CONTROL!$C$32, 22.6811, 22.6801) * CHOOSE( CONTROL!$C$15, $D$11, 100%, $F$11)</f>
        <v>22.681100000000001</v>
      </c>
      <c r="H787" s="4">
        <f>CHOOSE( CONTROL!$C$32, 23.5837, 23.5826) * CHOOSE(CONTROL!$C$15, $D$11, 100%, $F$11)</f>
        <v>23.5837</v>
      </c>
      <c r="I787" s="8">
        <f>CHOOSE( CONTROL!$C$32, 22.4187, 22.4176) * CHOOSE(CONTROL!$C$15, $D$11, 100%, $F$11)</f>
        <v>22.418700000000001</v>
      </c>
      <c r="J787" s="4">
        <f>CHOOSE( CONTROL!$C$32, 22.2626, 22.2615) * CHOOSE(CONTROL!$C$15, $D$11, 100%, $F$11)</f>
        <v>22.262599999999999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65135</v>
      </c>
      <c r="B788" s="8">
        <f>CHOOSE( CONTROL!$C$32, 23.2977, 23.2966) * CHOOSE(CONTROL!$C$15, $D$11, 100%, $F$11)</f>
        <v>23.297699999999999</v>
      </c>
      <c r="C788" s="8">
        <f>CHOOSE( CONTROL!$C$32, 23.3022, 23.3011) * CHOOSE(CONTROL!$C$15, $D$11, 100%, $F$11)</f>
        <v>23.302199999999999</v>
      </c>
      <c r="D788" s="8">
        <f>CHOOSE( CONTROL!$C$32, 23.3051, 23.304) * CHOOSE( CONTROL!$C$15, $D$11, 100%, $F$11)</f>
        <v>23.305099999999999</v>
      </c>
      <c r="E788" s="12">
        <f>CHOOSE( CONTROL!$C$32, 23.3036, 23.3025) * CHOOSE( CONTROL!$C$15, $D$11, 100%, $F$11)</f>
        <v>23.303599999999999</v>
      </c>
      <c r="F788" s="4">
        <f>CHOOSE( CONTROL!$C$32, 24.006, 24.0049) * CHOOSE(CONTROL!$C$15, $D$11, 100%, $F$11)</f>
        <v>24.006</v>
      </c>
      <c r="G788" s="8">
        <f>CHOOSE( CONTROL!$C$32, 23.0362, 23.0351) * CHOOSE( CONTROL!$C$15, $D$11, 100%, $F$11)</f>
        <v>23.036200000000001</v>
      </c>
      <c r="H788" s="4">
        <f>CHOOSE( CONTROL!$C$32, 23.9715, 23.9705) * CHOOSE(CONTROL!$C$15, $D$11, 100%, $F$11)</f>
        <v>23.971499999999999</v>
      </c>
      <c r="I788" s="8">
        <f>CHOOSE( CONTROL!$C$32, 22.7294, 22.7284) * CHOOSE(CONTROL!$C$15, $D$11, 100%, $F$11)</f>
        <v>22.729399999999998</v>
      </c>
      <c r="J788" s="4">
        <f>CHOOSE( CONTROL!$C$32, 22.6009, 22.5999) * CHOOSE(CONTROL!$C$15, $D$11, 100%, $F$11)</f>
        <v>22.600899999999999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1.2509999999999999</v>
      </c>
      <c r="Q788" s="9">
        <v>19.053000000000001</v>
      </c>
      <c r="R788" s="9"/>
      <c r="S788" s="11"/>
    </row>
    <row r="789" spans="1:19" ht="15.75">
      <c r="A789" s="13">
        <v>65166</v>
      </c>
      <c r="B789" s="8">
        <f>CHOOSE( CONTROL!$C$32, 23.9201, 23.9185) * CHOOSE(CONTROL!$C$15, $D$11, 100%, $F$11)</f>
        <v>23.920100000000001</v>
      </c>
      <c r="C789" s="8">
        <f>CHOOSE( CONTROL!$C$32, 23.9281, 23.9265) * CHOOSE(CONTROL!$C$15, $D$11, 100%, $F$11)</f>
        <v>23.928100000000001</v>
      </c>
      <c r="D789" s="8">
        <f>CHOOSE( CONTROL!$C$32, 23.9249, 23.9232) * CHOOSE( CONTROL!$C$15, $D$11, 100%, $F$11)</f>
        <v>23.924900000000001</v>
      </c>
      <c r="E789" s="12">
        <f>CHOOSE( CONTROL!$C$32, 23.9248, 23.9232) * CHOOSE( CONTROL!$C$15, $D$11, 100%, $F$11)</f>
        <v>23.924800000000001</v>
      </c>
      <c r="F789" s="4">
        <f>CHOOSE( CONTROL!$C$32, 24.6271, 24.6254) * CHOOSE(CONTROL!$C$15, $D$11, 100%, $F$11)</f>
        <v>24.627099999999999</v>
      </c>
      <c r="G789" s="8">
        <f>CHOOSE( CONTROL!$C$32, 23.6498, 23.6482) * CHOOSE( CONTROL!$C$15, $D$11, 100%, $F$11)</f>
        <v>23.649799999999999</v>
      </c>
      <c r="H789" s="4">
        <f>CHOOSE( CONTROL!$C$32, 24.5853, 24.5837) * CHOOSE(CONTROL!$C$15, $D$11, 100%, $F$11)</f>
        <v>24.5853</v>
      </c>
      <c r="I789" s="8">
        <f>CHOOSE( CONTROL!$C$32, 23.3318, 23.3301) * CHOOSE(CONTROL!$C$15, $D$11, 100%, $F$11)</f>
        <v>23.331800000000001</v>
      </c>
      <c r="J789" s="4">
        <f>CHOOSE( CONTROL!$C$32, 23.2037, 23.2021) * CHOOSE(CONTROL!$C$15, $D$11, 100%, $F$11)</f>
        <v>23.203700000000001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1.2927</v>
      </c>
      <c r="Q789" s="9">
        <v>19.688099999999999</v>
      </c>
      <c r="R789" s="9"/>
      <c r="S789" s="11"/>
    </row>
    <row r="790" spans="1:19" ht="15.75">
      <c r="A790" s="13">
        <v>65196</v>
      </c>
      <c r="B790" s="8">
        <f>CHOOSE( CONTROL!$C$32, 23.5358, 23.5341) * CHOOSE(CONTROL!$C$15, $D$11, 100%, $F$11)</f>
        <v>23.535799999999998</v>
      </c>
      <c r="C790" s="8">
        <f>CHOOSE( CONTROL!$C$32, 23.5437, 23.5421) * CHOOSE(CONTROL!$C$15, $D$11, 100%, $F$11)</f>
        <v>23.543700000000001</v>
      </c>
      <c r="D790" s="8">
        <f>CHOOSE( CONTROL!$C$32, 23.5407, 23.539) * CHOOSE( CONTROL!$C$15, $D$11, 100%, $F$11)</f>
        <v>23.540700000000001</v>
      </c>
      <c r="E790" s="12">
        <f>CHOOSE( CONTROL!$C$32, 23.5406, 23.5389) * CHOOSE( CONTROL!$C$15, $D$11, 100%, $F$11)</f>
        <v>23.540600000000001</v>
      </c>
      <c r="F790" s="4">
        <f>CHOOSE( CONTROL!$C$32, 24.2427, 24.241) * CHOOSE(CONTROL!$C$15, $D$11, 100%, $F$11)</f>
        <v>24.242699999999999</v>
      </c>
      <c r="G790" s="8">
        <f>CHOOSE( CONTROL!$C$32, 23.2701, 23.2685) * CHOOSE( CONTROL!$C$15, $D$11, 100%, $F$11)</f>
        <v>23.270099999999999</v>
      </c>
      <c r="H790" s="4">
        <f>CHOOSE( CONTROL!$C$32, 24.2054, 24.2038) * CHOOSE(CONTROL!$C$15, $D$11, 100%, $F$11)</f>
        <v>24.205400000000001</v>
      </c>
      <c r="I790" s="8">
        <f>CHOOSE( CONTROL!$C$32, 22.9593, 22.9577) * CHOOSE(CONTROL!$C$15, $D$11, 100%, $F$11)</f>
        <v>22.959299999999999</v>
      </c>
      <c r="J790" s="4">
        <f>CHOOSE( CONTROL!$C$32, 22.8306, 22.829) * CHOOSE(CONTROL!$C$15, $D$11, 100%, $F$11)</f>
        <v>22.8306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1.2509999999999999</v>
      </c>
      <c r="Q790" s="9">
        <v>19.053000000000001</v>
      </c>
      <c r="R790" s="9"/>
      <c r="S790" s="11"/>
    </row>
    <row r="791" spans="1:19" ht="15.75">
      <c r="A791" s="13">
        <v>65227</v>
      </c>
      <c r="B791" s="8">
        <f>CHOOSE( CONTROL!$C$32, 24.548, 24.5463) * CHOOSE(CONTROL!$C$15, $D$11, 100%, $F$11)</f>
        <v>24.547999999999998</v>
      </c>
      <c r="C791" s="8">
        <f>CHOOSE( CONTROL!$C$32, 24.5559, 24.5543) * CHOOSE(CONTROL!$C$15, $D$11, 100%, $F$11)</f>
        <v>24.555900000000001</v>
      </c>
      <c r="D791" s="8">
        <f>CHOOSE( CONTROL!$C$32, 24.5531, 24.5515) * CHOOSE( CONTROL!$C$15, $D$11, 100%, $F$11)</f>
        <v>24.553100000000001</v>
      </c>
      <c r="E791" s="12">
        <f>CHOOSE( CONTROL!$C$32, 24.5529, 24.5513) * CHOOSE( CONTROL!$C$15, $D$11, 100%, $F$11)</f>
        <v>24.552900000000001</v>
      </c>
      <c r="F791" s="4">
        <f>CHOOSE( CONTROL!$C$32, 25.2549, 25.2532) * CHOOSE(CONTROL!$C$15, $D$11, 100%, $F$11)</f>
        <v>25.254899999999999</v>
      </c>
      <c r="G791" s="8">
        <f>CHOOSE( CONTROL!$C$32, 24.2707, 24.269) * CHOOSE( CONTROL!$C$15, $D$11, 100%, $F$11)</f>
        <v>24.270700000000001</v>
      </c>
      <c r="H791" s="4">
        <f>CHOOSE( CONTROL!$C$32, 25.2058, 25.2042) * CHOOSE(CONTROL!$C$15, $D$11, 100%, $F$11)</f>
        <v>25.2058</v>
      </c>
      <c r="I791" s="8">
        <f>CHOOSE( CONTROL!$C$32, 23.943, 23.9414) * CHOOSE(CONTROL!$C$15, $D$11, 100%, $F$11)</f>
        <v>23.943000000000001</v>
      </c>
      <c r="J791" s="4">
        <f>CHOOSE( CONTROL!$C$32, 23.813, 23.8114) * CHOOSE(CONTROL!$C$15, $D$11, 100%, $F$11)</f>
        <v>23.812999999999999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1.2927</v>
      </c>
      <c r="Q791" s="9">
        <v>19.688099999999999</v>
      </c>
      <c r="R791" s="9"/>
      <c r="S791" s="11"/>
    </row>
    <row r="792" spans="1:19" ht="15.75">
      <c r="A792" s="13">
        <v>65258</v>
      </c>
      <c r="B792" s="8">
        <f>CHOOSE( CONTROL!$C$32, 22.654, 22.6524) * CHOOSE(CONTROL!$C$15, $D$11, 100%, $F$11)</f>
        <v>22.654</v>
      </c>
      <c r="C792" s="8">
        <f>CHOOSE( CONTROL!$C$32, 22.662, 22.6603) * CHOOSE(CONTROL!$C$15, $D$11, 100%, $F$11)</f>
        <v>22.661999999999999</v>
      </c>
      <c r="D792" s="8">
        <f>CHOOSE( CONTROL!$C$32, 22.6593, 22.6577) * CHOOSE( CONTROL!$C$15, $D$11, 100%, $F$11)</f>
        <v>22.659300000000002</v>
      </c>
      <c r="E792" s="12">
        <f>CHOOSE( CONTROL!$C$32, 22.6591, 22.6574) * CHOOSE( CONTROL!$C$15, $D$11, 100%, $F$11)</f>
        <v>22.659099999999999</v>
      </c>
      <c r="F792" s="4">
        <f>CHOOSE( CONTROL!$C$32, 23.361, 23.3593) * CHOOSE(CONTROL!$C$15, $D$11, 100%, $F$11)</f>
        <v>23.361000000000001</v>
      </c>
      <c r="G792" s="8">
        <f>CHOOSE( CONTROL!$C$32, 22.399, 22.3973) * CHOOSE( CONTROL!$C$15, $D$11, 100%, $F$11)</f>
        <v>22.399000000000001</v>
      </c>
      <c r="H792" s="4">
        <f>CHOOSE( CONTROL!$C$32, 23.334, 23.3324) * CHOOSE(CONTROL!$C$15, $D$11, 100%, $F$11)</f>
        <v>23.334</v>
      </c>
      <c r="I792" s="8">
        <f>CHOOSE( CONTROL!$C$32, 22.1043, 22.1027) * CHOOSE(CONTROL!$C$15, $D$11, 100%, $F$11)</f>
        <v>22.104299999999999</v>
      </c>
      <c r="J792" s="4">
        <f>CHOOSE( CONTROL!$C$32, 21.9749, 21.9733) * CHOOSE(CONTROL!$C$15, $D$11, 100%, $F$11)</f>
        <v>21.974900000000002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1.2927</v>
      </c>
      <c r="Q792" s="9">
        <v>19.688099999999999</v>
      </c>
      <c r="R792" s="9"/>
      <c r="S792" s="11"/>
    </row>
    <row r="793" spans="1:19" ht="15.75">
      <c r="A793" s="13">
        <v>65288</v>
      </c>
      <c r="B793" s="8">
        <f>CHOOSE( CONTROL!$C$32, 22.1798, 22.1781) * CHOOSE(CONTROL!$C$15, $D$11, 100%, $F$11)</f>
        <v>22.1798</v>
      </c>
      <c r="C793" s="8">
        <f>CHOOSE( CONTROL!$C$32, 22.1877, 22.1861) * CHOOSE(CONTROL!$C$15, $D$11, 100%, $F$11)</f>
        <v>22.1877</v>
      </c>
      <c r="D793" s="8">
        <f>CHOOSE( CONTROL!$C$32, 22.185, 22.1833) * CHOOSE( CONTROL!$C$15, $D$11, 100%, $F$11)</f>
        <v>22.184999999999999</v>
      </c>
      <c r="E793" s="12">
        <f>CHOOSE( CONTROL!$C$32, 22.1848, 22.1831) * CHOOSE( CONTROL!$C$15, $D$11, 100%, $F$11)</f>
        <v>22.184799999999999</v>
      </c>
      <c r="F793" s="4">
        <f>CHOOSE( CONTROL!$C$32, 22.8867, 22.885) * CHOOSE(CONTROL!$C$15, $D$11, 100%, $F$11)</f>
        <v>22.886700000000001</v>
      </c>
      <c r="G793" s="8">
        <f>CHOOSE( CONTROL!$C$32, 21.9302, 21.9286) * CHOOSE( CONTROL!$C$15, $D$11, 100%, $F$11)</f>
        <v>21.930199999999999</v>
      </c>
      <c r="H793" s="4">
        <f>CHOOSE( CONTROL!$C$32, 22.8653, 22.8637) * CHOOSE(CONTROL!$C$15, $D$11, 100%, $F$11)</f>
        <v>22.865300000000001</v>
      </c>
      <c r="I793" s="8">
        <f>CHOOSE( CONTROL!$C$32, 21.6437, 21.6421) * CHOOSE(CONTROL!$C$15, $D$11, 100%, $F$11)</f>
        <v>21.643699999999999</v>
      </c>
      <c r="J793" s="4">
        <f>CHOOSE( CONTROL!$C$32, 21.5146, 21.513) * CHOOSE(CONTROL!$C$15, $D$11, 100%, $F$11)</f>
        <v>21.514600000000002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1.2509999999999999</v>
      </c>
      <c r="Q793" s="9">
        <v>19.053000000000001</v>
      </c>
      <c r="R793" s="9"/>
      <c r="S793" s="11"/>
    </row>
    <row r="794" spans="1:19" ht="15.75">
      <c r="A794" s="13">
        <v>65319</v>
      </c>
      <c r="B794" s="8">
        <f>CHOOSE( CONTROL!$C$32, 23.1622, 23.1611) * CHOOSE(CONTROL!$C$15, $D$11, 100%, $F$11)</f>
        <v>23.162199999999999</v>
      </c>
      <c r="C794" s="8">
        <f>CHOOSE( CONTROL!$C$32, 23.1675, 23.1664) * CHOOSE(CONTROL!$C$15, $D$11, 100%, $F$11)</f>
        <v>23.1675</v>
      </c>
      <c r="D794" s="8">
        <f>CHOOSE( CONTROL!$C$32, 23.1704, 23.1693) * CHOOSE( CONTROL!$C$15, $D$11, 100%, $F$11)</f>
        <v>23.170400000000001</v>
      </c>
      <c r="E794" s="12">
        <f>CHOOSE( CONTROL!$C$32, 23.1689, 23.1678) * CHOOSE( CONTROL!$C$15, $D$11, 100%, $F$11)</f>
        <v>23.168900000000001</v>
      </c>
      <c r="F794" s="4">
        <f>CHOOSE( CONTROL!$C$32, 23.8709, 23.8698) * CHOOSE(CONTROL!$C$15, $D$11, 100%, $F$11)</f>
        <v>23.870899999999999</v>
      </c>
      <c r="G794" s="8">
        <f>CHOOSE( CONTROL!$C$32, 22.903, 22.902) * CHOOSE( CONTROL!$C$15, $D$11, 100%, $F$11)</f>
        <v>22.902999999999999</v>
      </c>
      <c r="H794" s="4">
        <f>CHOOSE( CONTROL!$C$32, 23.838, 23.8369) * CHOOSE(CONTROL!$C$15, $D$11, 100%, $F$11)</f>
        <v>23.838000000000001</v>
      </c>
      <c r="I794" s="8">
        <f>CHOOSE( CONTROL!$C$32, 22.6001, 22.599) * CHOOSE(CONTROL!$C$15, $D$11, 100%, $F$11)</f>
        <v>22.600100000000001</v>
      </c>
      <c r="J794" s="4">
        <f>CHOOSE( CONTROL!$C$32, 22.4698, 22.4687) * CHOOSE(CONTROL!$C$15, $D$11, 100%, $F$11)</f>
        <v>22.469799999999999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1.2927</v>
      </c>
      <c r="Q794" s="9">
        <v>19.688099999999999</v>
      </c>
      <c r="R794" s="9"/>
      <c r="S794" s="11"/>
    </row>
    <row r="795" spans="1:19" ht="15.75">
      <c r="A795" s="13">
        <v>65349</v>
      </c>
      <c r="B795" s="8">
        <f>CHOOSE( CONTROL!$C$32, 24.9794, 24.9783) * CHOOSE(CONTROL!$C$15, $D$11, 100%, $F$11)</f>
        <v>24.979399999999998</v>
      </c>
      <c r="C795" s="8">
        <f>CHOOSE( CONTROL!$C$32, 24.9845, 24.9834) * CHOOSE(CONTROL!$C$15, $D$11, 100%, $F$11)</f>
        <v>24.984500000000001</v>
      </c>
      <c r="D795" s="8">
        <f>CHOOSE( CONTROL!$C$32, 24.9667, 24.9656) * CHOOSE( CONTROL!$C$15, $D$11, 100%, $F$11)</f>
        <v>24.966699999999999</v>
      </c>
      <c r="E795" s="12">
        <f>CHOOSE( CONTROL!$C$32, 24.9727, 24.9716) * CHOOSE( CONTROL!$C$15, $D$11, 100%, $F$11)</f>
        <v>24.9727</v>
      </c>
      <c r="F795" s="4">
        <f>CHOOSE( CONTROL!$C$32, 25.6447, 25.6436) * CHOOSE(CONTROL!$C$15, $D$11, 100%, $F$11)</f>
        <v>25.6447</v>
      </c>
      <c r="G795" s="8">
        <f>CHOOSE( CONTROL!$C$32, 24.6985, 24.6974) * CHOOSE( CONTROL!$C$15, $D$11, 100%, $F$11)</f>
        <v>24.698499999999999</v>
      </c>
      <c r="H795" s="4">
        <f>CHOOSE( CONTROL!$C$32, 25.591, 25.5899) * CHOOSE(CONTROL!$C$15, $D$11, 100%, $F$11)</f>
        <v>25.591000000000001</v>
      </c>
      <c r="I795" s="8">
        <f>CHOOSE( CONTROL!$C$32, 24.4267, 24.4257) * CHOOSE(CONTROL!$C$15, $D$11, 100%, $F$11)</f>
        <v>24.4267</v>
      </c>
      <c r="J795" s="4">
        <f>CHOOSE( CONTROL!$C$32, 24.2338, 24.2327) * CHOOSE(CONTROL!$C$15, $D$11, 100%, $F$11)</f>
        <v>24.233799999999999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65380</v>
      </c>
      <c r="B796" s="8">
        <f>CHOOSE( CONTROL!$C$32, 24.934, 24.9329) * CHOOSE(CONTROL!$C$15, $D$11, 100%, $F$11)</f>
        <v>24.934000000000001</v>
      </c>
      <c r="C796" s="8">
        <f>CHOOSE( CONTROL!$C$32, 24.9391, 24.938) * CHOOSE(CONTROL!$C$15, $D$11, 100%, $F$11)</f>
        <v>24.9391</v>
      </c>
      <c r="D796" s="8">
        <f>CHOOSE( CONTROL!$C$32, 24.9227, 24.9216) * CHOOSE( CONTROL!$C$15, $D$11, 100%, $F$11)</f>
        <v>24.922699999999999</v>
      </c>
      <c r="E796" s="12">
        <f>CHOOSE( CONTROL!$C$32, 24.9282, 24.9271) * CHOOSE( CONTROL!$C$15, $D$11, 100%, $F$11)</f>
        <v>24.9282</v>
      </c>
      <c r="F796" s="4">
        <f>CHOOSE( CONTROL!$C$32, 25.5993, 25.5982) * CHOOSE(CONTROL!$C$15, $D$11, 100%, $F$11)</f>
        <v>25.599299999999999</v>
      </c>
      <c r="G796" s="8">
        <f>CHOOSE( CONTROL!$C$32, 24.6546, 24.6535) * CHOOSE( CONTROL!$C$15, $D$11, 100%, $F$11)</f>
        <v>24.654599999999999</v>
      </c>
      <c r="H796" s="4">
        <f>CHOOSE( CONTROL!$C$32, 25.5461, 25.5451) * CHOOSE(CONTROL!$C$15, $D$11, 100%, $F$11)</f>
        <v>25.546099999999999</v>
      </c>
      <c r="I796" s="8">
        <f>CHOOSE( CONTROL!$C$32, 24.3871, 24.386) * CHOOSE(CONTROL!$C$15, $D$11, 100%, $F$11)</f>
        <v>24.3871</v>
      </c>
      <c r="J796" s="4">
        <f>CHOOSE( CONTROL!$C$32, 24.1897, 24.1886) * CHOOSE(CONTROL!$C$15, $D$11, 100%, $F$11)</f>
        <v>24.189699999999998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65411</v>
      </c>
      <c r="B797" s="8">
        <f>CHOOSE( CONTROL!$C$32, 25.6692, 25.6681) * CHOOSE(CONTROL!$C$15, $D$11, 100%, $F$11)</f>
        <v>25.6692</v>
      </c>
      <c r="C797" s="8">
        <f>CHOOSE( CONTROL!$C$32, 25.6743, 25.6732) * CHOOSE(CONTROL!$C$15, $D$11, 100%, $F$11)</f>
        <v>25.674299999999999</v>
      </c>
      <c r="D797" s="8">
        <f>CHOOSE( CONTROL!$C$32, 25.653, 25.6519) * CHOOSE( CONTROL!$C$15, $D$11, 100%, $F$11)</f>
        <v>25.652999999999999</v>
      </c>
      <c r="E797" s="12">
        <f>CHOOSE( CONTROL!$C$32, 25.6602, 25.6591) * CHOOSE( CONTROL!$C$15, $D$11, 100%, $F$11)</f>
        <v>25.6602</v>
      </c>
      <c r="F797" s="4">
        <f>CHOOSE( CONTROL!$C$32, 26.3345, 26.3334) * CHOOSE(CONTROL!$C$15, $D$11, 100%, $F$11)</f>
        <v>26.334499999999998</v>
      </c>
      <c r="G797" s="8">
        <f>CHOOSE( CONTROL!$C$32, 25.3707, 25.3696) * CHOOSE( CONTROL!$C$15, $D$11, 100%, $F$11)</f>
        <v>25.370699999999999</v>
      </c>
      <c r="H797" s="4">
        <f>CHOOSE( CONTROL!$C$32, 26.2727, 26.2716) * CHOOSE(CONTROL!$C$15, $D$11, 100%, $F$11)</f>
        <v>26.2727</v>
      </c>
      <c r="I797" s="8">
        <f>CHOOSE( CONTROL!$C$32, 25.063, 25.0619) * CHOOSE(CONTROL!$C$15, $D$11, 100%, $F$11)</f>
        <v>25.062999999999999</v>
      </c>
      <c r="J797" s="4">
        <f>CHOOSE( CONTROL!$C$32, 24.9032, 24.9021) * CHOOSE(CONTROL!$C$15, $D$11, 100%, $F$11)</f>
        <v>24.903199999999998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65439</v>
      </c>
      <c r="B798" s="8">
        <f>CHOOSE( CONTROL!$C$32, 24.0104, 24.0093) * CHOOSE(CONTROL!$C$15, $D$11, 100%, $F$11)</f>
        <v>24.010400000000001</v>
      </c>
      <c r="C798" s="8">
        <f>CHOOSE( CONTROL!$C$32, 24.0154, 24.0144) * CHOOSE(CONTROL!$C$15, $D$11, 100%, $F$11)</f>
        <v>24.0154</v>
      </c>
      <c r="D798" s="8">
        <f>CHOOSE( CONTROL!$C$32, 23.994, 23.9929) * CHOOSE( CONTROL!$C$15, $D$11, 100%, $F$11)</f>
        <v>23.994</v>
      </c>
      <c r="E798" s="12">
        <f>CHOOSE( CONTROL!$C$32, 24.0013, 24.0002) * CHOOSE( CONTROL!$C$15, $D$11, 100%, $F$11)</f>
        <v>24.001300000000001</v>
      </c>
      <c r="F798" s="4">
        <f>CHOOSE( CONTROL!$C$32, 24.6756, 24.6746) * CHOOSE(CONTROL!$C$15, $D$11, 100%, $F$11)</f>
        <v>24.675599999999999</v>
      </c>
      <c r="G798" s="8">
        <f>CHOOSE( CONTROL!$C$32, 23.7312, 23.7301) * CHOOSE( CONTROL!$C$15, $D$11, 100%, $F$11)</f>
        <v>23.731200000000001</v>
      </c>
      <c r="H798" s="4">
        <f>CHOOSE( CONTROL!$C$32, 24.6333, 24.6322) * CHOOSE(CONTROL!$C$15, $D$11, 100%, $F$11)</f>
        <v>24.633299999999998</v>
      </c>
      <c r="I798" s="8">
        <f>CHOOSE( CONTROL!$C$32, 23.4519, 23.4508) * CHOOSE(CONTROL!$C$15, $D$11, 100%, $F$11)</f>
        <v>23.451899999999998</v>
      </c>
      <c r="J798" s="4">
        <f>CHOOSE( CONTROL!$C$32, 23.2933, 23.2922) * CHOOSE(CONTROL!$C$15, $D$11, 100%, $F$11)</f>
        <v>23.293299999999999</v>
      </c>
      <c r="K798" s="4"/>
      <c r="L798" s="9">
        <v>26.469899999999999</v>
      </c>
      <c r="M798" s="9">
        <v>10.8962</v>
      </c>
      <c r="N798" s="9">
        <v>4.4660000000000002</v>
      </c>
      <c r="O798" s="9">
        <v>0.33789999999999998</v>
      </c>
      <c r="P798" s="9">
        <v>1.1676</v>
      </c>
      <c r="Q798" s="9">
        <v>17.782800000000002</v>
      </c>
      <c r="R798" s="9"/>
      <c r="S798" s="11"/>
    </row>
    <row r="799" spans="1:19" ht="15.75">
      <c r="A799" s="13">
        <v>65470</v>
      </c>
      <c r="B799" s="8">
        <f>CHOOSE( CONTROL!$C$32, 23.4994, 23.4984) * CHOOSE(CONTROL!$C$15, $D$11, 100%, $F$11)</f>
        <v>23.499400000000001</v>
      </c>
      <c r="C799" s="8">
        <f>CHOOSE( CONTROL!$C$32, 23.5045, 23.5034) * CHOOSE(CONTROL!$C$15, $D$11, 100%, $F$11)</f>
        <v>23.5045</v>
      </c>
      <c r="D799" s="8">
        <f>CHOOSE( CONTROL!$C$32, 23.4825, 23.4814) * CHOOSE( CONTROL!$C$15, $D$11, 100%, $F$11)</f>
        <v>23.482500000000002</v>
      </c>
      <c r="E799" s="12">
        <f>CHOOSE( CONTROL!$C$32, 23.49, 23.4889) * CHOOSE( CONTROL!$C$15, $D$11, 100%, $F$11)</f>
        <v>23.49</v>
      </c>
      <c r="F799" s="4">
        <f>CHOOSE( CONTROL!$C$32, 24.1647, 24.1636) * CHOOSE(CONTROL!$C$15, $D$11, 100%, $F$11)</f>
        <v>24.1647</v>
      </c>
      <c r="G799" s="8">
        <f>CHOOSE( CONTROL!$C$32, 23.2258, 23.2247) * CHOOSE( CONTROL!$C$15, $D$11, 100%, $F$11)</f>
        <v>23.2258</v>
      </c>
      <c r="H799" s="4">
        <f>CHOOSE( CONTROL!$C$32, 24.1284, 24.1273) * CHOOSE(CONTROL!$C$15, $D$11, 100%, $F$11)</f>
        <v>24.128399999999999</v>
      </c>
      <c r="I799" s="8">
        <f>CHOOSE( CONTROL!$C$32, 22.9538, 22.9528) * CHOOSE(CONTROL!$C$15, $D$11, 100%, $F$11)</f>
        <v>22.953800000000001</v>
      </c>
      <c r="J799" s="4">
        <f>CHOOSE( CONTROL!$C$32, 22.7975, 22.7964) * CHOOSE(CONTROL!$C$15, $D$11, 100%, $F$11)</f>
        <v>22.797499999999999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65500</v>
      </c>
      <c r="B800" s="8">
        <f>CHOOSE( CONTROL!$C$32, 23.8572, 23.8561) * CHOOSE(CONTROL!$C$15, $D$11, 100%, $F$11)</f>
        <v>23.857199999999999</v>
      </c>
      <c r="C800" s="8">
        <f>CHOOSE( CONTROL!$C$32, 23.8617, 23.8607) * CHOOSE(CONTROL!$C$15, $D$11, 100%, $F$11)</f>
        <v>23.861699999999999</v>
      </c>
      <c r="D800" s="8">
        <f>CHOOSE( CONTROL!$C$32, 23.8646, 23.8635) * CHOOSE( CONTROL!$C$15, $D$11, 100%, $F$11)</f>
        <v>23.864599999999999</v>
      </c>
      <c r="E800" s="12">
        <f>CHOOSE( CONTROL!$C$32, 23.8631, 23.8621) * CHOOSE( CONTROL!$C$15, $D$11, 100%, $F$11)</f>
        <v>23.863099999999999</v>
      </c>
      <c r="F800" s="4">
        <f>CHOOSE( CONTROL!$C$32, 24.5655, 24.5645) * CHOOSE(CONTROL!$C$15, $D$11, 100%, $F$11)</f>
        <v>24.5655</v>
      </c>
      <c r="G800" s="8">
        <f>CHOOSE( CONTROL!$C$32, 23.5891, 23.5881) * CHOOSE( CONTROL!$C$15, $D$11, 100%, $F$11)</f>
        <v>23.589099999999998</v>
      </c>
      <c r="H800" s="4">
        <f>CHOOSE( CONTROL!$C$32, 24.5245, 24.5234) * CHOOSE(CONTROL!$C$15, $D$11, 100%, $F$11)</f>
        <v>24.5245</v>
      </c>
      <c r="I800" s="8">
        <f>CHOOSE( CONTROL!$C$32, 23.2727, 23.2717) * CHOOSE(CONTROL!$C$15, $D$11, 100%, $F$11)</f>
        <v>23.2727</v>
      </c>
      <c r="J800" s="4">
        <f>CHOOSE( CONTROL!$C$32, 23.1439, 23.1429) * CHOOSE(CONTROL!$C$15, $D$11, 100%, $F$11)</f>
        <v>23.143899999999999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1.2509999999999999</v>
      </c>
      <c r="Q800" s="9">
        <v>19.053000000000001</v>
      </c>
      <c r="R800" s="9"/>
      <c r="S800" s="11"/>
    </row>
    <row r="801" spans="1:19" ht="15.75">
      <c r="A801" s="13">
        <v>65531</v>
      </c>
      <c r="B801" s="8">
        <f>CHOOSE( CONTROL!$C$32, 24.4946, 24.4929) * CHOOSE(CONTROL!$C$15, $D$11, 100%, $F$11)</f>
        <v>24.494599999999998</v>
      </c>
      <c r="C801" s="8">
        <f>CHOOSE( CONTROL!$C$32, 24.5025, 24.5009) * CHOOSE(CONTROL!$C$15, $D$11, 100%, $F$11)</f>
        <v>24.502500000000001</v>
      </c>
      <c r="D801" s="8">
        <f>CHOOSE( CONTROL!$C$32, 24.4993, 24.4976) * CHOOSE( CONTROL!$C$15, $D$11, 100%, $F$11)</f>
        <v>24.499300000000002</v>
      </c>
      <c r="E801" s="12">
        <f>CHOOSE( CONTROL!$C$32, 24.4993, 24.4976) * CHOOSE( CONTROL!$C$15, $D$11, 100%, $F$11)</f>
        <v>24.499300000000002</v>
      </c>
      <c r="F801" s="4">
        <f>CHOOSE( CONTROL!$C$32, 25.2015, 25.1999) * CHOOSE(CONTROL!$C$15, $D$11, 100%, $F$11)</f>
        <v>25.201499999999999</v>
      </c>
      <c r="G801" s="8">
        <f>CHOOSE( CONTROL!$C$32, 24.2175, 24.2159) * CHOOSE( CONTROL!$C$15, $D$11, 100%, $F$11)</f>
        <v>24.217500000000001</v>
      </c>
      <c r="H801" s="4">
        <f>CHOOSE( CONTROL!$C$32, 25.153, 25.1514) * CHOOSE(CONTROL!$C$15, $D$11, 100%, $F$11)</f>
        <v>25.152999999999999</v>
      </c>
      <c r="I801" s="8">
        <f>CHOOSE( CONTROL!$C$32, 23.8895, 23.8879) * CHOOSE(CONTROL!$C$15, $D$11, 100%, $F$11)</f>
        <v>23.889500000000002</v>
      </c>
      <c r="J801" s="4">
        <f>CHOOSE( CONTROL!$C$32, 23.7612, 23.7595) * CHOOSE(CONTROL!$C$15, $D$11, 100%, $F$11)</f>
        <v>23.761199999999999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1.2927</v>
      </c>
      <c r="Q801" s="9">
        <v>19.688099999999999</v>
      </c>
      <c r="R801" s="9"/>
      <c r="S801" s="11"/>
    </row>
    <row r="802" spans="1:19" ht="15.75">
      <c r="A802" s="13">
        <v>65561</v>
      </c>
      <c r="B802" s="8">
        <f>CHOOSE( CONTROL!$C$32, 24.101, 24.0993) * CHOOSE(CONTROL!$C$15, $D$11, 100%, $F$11)</f>
        <v>24.100999999999999</v>
      </c>
      <c r="C802" s="8">
        <f>CHOOSE( CONTROL!$C$32, 24.1089, 24.1073) * CHOOSE(CONTROL!$C$15, $D$11, 100%, $F$11)</f>
        <v>24.108899999999998</v>
      </c>
      <c r="D802" s="8">
        <f>CHOOSE( CONTROL!$C$32, 24.1059, 24.1042) * CHOOSE( CONTROL!$C$15, $D$11, 100%, $F$11)</f>
        <v>24.105899999999998</v>
      </c>
      <c r="E802" s="12">
        <f>CHOOSE( CONTROL!$C$32, 24.1058, 24.1041) * CHOOSE( CONTROL!$C$15, $D$11, 100%, $F$11)</f>
        <v>24.105799999999999</v>
      </c>
      <c r="F802" s="4">
        <f>CHOOSE( CONTROL!$C$32, 24.8079, 24.8062) * CHOOSE(CONTROL!$C$15, $D$11, 100%, $F$11)</f>
        <v>24.8079</v>
      </c>
      <c r="G802" s="8">
        <f>CHOOSE( CONTROL!$C$32, 23.8287, 23.8271) * CHOOSE( CONTROL!$C$15, $D$11, 100%, $F$11)</f>
        <v>23.828700000000001</v>
      </c>
      <c r="H802" s="4">
        <f>CHOOSE( CONTROL!$C$32, 24.764, 24.7624) * CHOOSE(CONTROL!$C$15, $D$11, 100%, $F$11)</f>
        <v>24.763999999999999</v>
      </c>
      <c r="I802" s="8">
        <f>CHOOSE( CONTROL!$C$32, 23.5081, 23.5065) * CHOOSE(CONTROL!$C$15, $D$11, 100%, $F$11)</f>
        <v>23.508099999999999</v>
      </c>
      <c r="J802" s="4">
        <f>CHOOSE( CONTROL!$C$32, 23.3792, 23.3776) * CHOOSE(CONTROL!$C$15, $D$11, 100%, $F$11)</f>
        <v>23.379200000000001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1.2509999999999999</v>
      </c>
      <c r="Q802" s="9">
        <v>19.053000000000001</v>
      </c>
      <c r="R802" s="9"/>
      <c r="S802" s="11"/>
    </row>
    <row r="803" spans="1:19" ht="15.75">
      <c r="A803" s="13">
        <v>65592</v>
      </c>
      <c r="B803" s="8">
        <f>CHOOSE( CONTROL!$C$32, 25.1375, 25.1358) * CHOOSE(CONTROL!$C$15, $D$11, 100%, $F$11)</f>
        <v>25.137499999999999</v>
      </c>
      <c r="C803" s="8">
        <f>CHOOSE( CONTROL!$C$32, 25.1455, 25.1438) * CHOOSE(CONTROL!$C$15, $D$11, 100%, $F$11)</f>
        <v>25.145499999999998</v>
      </c>
      <c r="D803" s="8">
        <f>CHOOSE( CONTROL!$C$32, 25.1427, 25.141) * CHOOSE( CONTROL!$C$15, $D$11, 100%, $F$11)</f>
        <v>25.142700000000001</v>
      </c>
      <c r="E803" s="12">
        <f>CHOOSE( CONTROL!$C$32, 25.1425, 25.1408) * CHOOSE( CONTROL!$C$15, $D$11, 100%, $F$11)</f>
        <v>25.142499999999998</v>
      </c>
      <c r="F803" s="4">
        <f>CHOOSE( CONTROL!$C$32, 25.8444, 25.8428) * CHOOSE(CONTROL!$C$15, $D$11, 100%, $F$11)</f>
        <v>25.8444</v>
      </c>
      <c r="G803" s="8">
        <f>CHOOSE( CONTROL!$C$32, 24.8533, 24.8516) * CHOOSE( CONTROL!$C$15, $D$11, 100%, $F$11)</f>
        <v>24.853300000000001</v>
      </c>
      <c r="H803" s="4">
        <f>CHOOSE( CONTROL!$C$32, 25.7884, 25.7868) * CHOOSE(CONTROL!$C$15, $D$11, 100%, $F$11)</f>
        <v>25.788399999999999</v>
      </c>
      <c r="I803" s="8">
        <f>CHOOSE( CONTROL!$C$32, 24.5154, 24.5138) * CHOOSE(CONTROL!$C$15, $D$11, 100%, $F$11)</f>
        <v>24.5154</v>
      </c>
      <c r="J803" s="4">
        <f>CHOOSE( CONTROL!$C$32, 24.3851, 24.3835) * CHOOSE(CONTROL!$C$15, $D$11, 100%, $F$11)</f>
        <v>24.385100000000001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1.2927</v>
      </c>
      <c r="Q803" s="9">
        <v>19.688099999999999</v>
      </c>
      <c r="R803" s="9"/>
      <c r="S803" s="11"/>
    </row>
    <row r="804" spans="1:19" ht="15.75">
      <c r="A804" s="13">
        <v>65623</v>
      </c>
      <c r="B804" s="8">
        <f>CHOOSE( CONTROL!$C$32, 23.198, 23.1964) * CHOOSE(CONTROL!$C$15, $D$11, 100%, $F$11)</f>
        <v>23.198</v>
      </c>
      <c r="C804" s="8">
        <f>CHOOSE( CONTROL!$C$32, 23.206, 23.2044) * CHOOSE(CONTROL!$C$15, $D$11, 100%, $F$11)</f>
        <v>23.206</v>
      </c>
      <c r="D804" s="8">
        <f>CHOOSE( CONTROL!$C$32, 23.2033, 23.2017) * CHOOSE( CONTROL!$C$15, $D$11, 100%, $F$11)</f>
        <v>23.203299999999999</v>
      </c>
      <c r="E804" s="12">
        <f>CHOOSE( CONTROL!$C$32, 23.2031, 23.2015) * CHOOSE( CONTROL!$C$15, $D$11, 100%, $F$11)</f>
        <v>23.203099999999999</v>
      </c>
      <c r="F804" s="4">
        <f>CHOOSE( CONTROL!$C$32, 23.905, 23.9033) * CHOOSE(CONTROL!$C$15, $D$11, 100%, $F$11)</f>
        <v>23.905000000000001</v>
      </c>
      <c r="G804" s="8">
        <f>CHOOSE( CONTROL!$C$32, 22.9366, 22.935) * CHOOSE( CONTROL!$C$15, $D$11, 100%, $F$11)</f>
        <v>22.936599999999999</v>
      </c>
      <c r="H804" s="4">
        <f>CHOOSE( CONTROL!$C$32, 23.8717, 23.87) * CHOOSE(CONTROL!$C$15, $D$11, 100%, $F$11)</f>
        <v>23.871700000000001</v>
      </c>
      <c r="I804" s="8">
        <f>CHOOSE( CONTROL!$C$32, 22.6326, 22.631) * CHOOSE(CONTROL!$C$15, $D$11, 100%, $F$11)</f>
        <v>22.6326</v>
      </c>
      <c r="J804" s="4">
        <f>CHOOSE( CONTROL!$C$32, 22.5029, 22.5013) * CHOOSE(CONTROL!$C$15, $D$11, 100%, $F$11)</f>
        <v>22.5029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1.2927</v>
      </c>
      <c r="Q804" s="9">
        <v>19.688099999999999</v>
      </c>
      <c r="R804" s="9"/>
      <c r="S804" s="11"/>
    </row>
    <row r="805" spans="1:19" ht="15.75">
      <c r="A805" s="13">
        <v>65653</v>
      </c>
      <c r="B805" s="8">
        <f>CHOOSE( CONTROL!$C$32, 22.7124, 22.7107) * CHOOSE(CONTROL!$C$15, $D$11, 100%, $F$11)</f>
        <v>22.712399999999999</v>
      </c>
      <c r="C805" s="8">
        <f>CHOOSE( CONTROL!$C$32, 22.7204, 22.7187) * CHOOSE(CONTROL!$C$15, $D$11, 100%, $F$11)</f>
        <v>22.720400000000001</v>
      </c>
      <c r="D805" s="8">
        <f>CHOOSE( CONTROL!$C$32, 22.7176, 22.716) * CHOOSE( CONTROL!$C$15, $D$11, 100%, $F$11)</f>
        <v>22.717600000000001</v>
      </c>
      <c r="E805" s="12">
        <f>CHOOSE( CONTROL!$C$32, 22.7174, 22.7158) * CHOOSE( CONTROL!$C$15, $D$11, 100%, $F$11)</f>
        <v>22.717400000000001</v>
      </c>
      <c r="F805" s="4">
        <f>CHOOSE( CONTROL!$C$32, 23.4193, 23.4177) * CHOOSE(CONTROL!$C$15, $D$11, 100%, $F$11)</f>
        <v>23.4193</v>
      </c>
      <c r="G805" s="8">
        <f>CHOOSE( CONTROL!$C$32, 22.4566, 22.455) * CHOOSE( CONTROL!$C$15, $D$11, 100%, $F$11)</f>
        <v>22.456600000000002</v>
      </c>
      <c r="H805" s="4">
        <f>CHOOSE( CONTROL!$C$32, 23.3917, 23.3901) * CHOOSE(CONTROL!$C$15, $D$11, 100%, $F$11)</f>
        <v>23.3917</v>
      </c>
      <c r="I805" s="8">
        <f>CHOOSE( CONTROL!$C$32, 22.1608, 22.1592) * CHOOSE(CONTROL!$C$15, $D$11, 100%, $F$11)</f>
        <v>22.160799999999998</v>
      </c>
      <c r="J805" s="4">
        <f>CHOOSE( CONTROL!$C$32, 22.0315, 22.0299) * CHOOSE(CONTROL!$C$15, $D$11, 100%, $F$11)</f>
        <v>22.031500000000001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1.2509999999999999</v>
      </c>
      <c r="Q805" s="9">
        <v>19.053000000000001</v>
      </c>
      <c r="R805" s="9"/>
      <c r="S805" s="11"/>
    </row>
    <row r="806" spans="1:19" ht="15.75">
      <c r="A806" s="13">
        <v>65684</v>
      </c>
      <c r="B806" s="8">
        <f>CHOOSE( CONTROL!$C$32, 23.7185, 23.7174) * CHOOSE(CONTROL!$C$15, $D$11, 100%, $F$11)</f>
        <v>23.718499999999999</v>
      </c>
      <c r="C806" s="8">
        <f>CHOOSE( CONTROL!$C$32, 23.7238, 23.7227) * CHOOSE(CONTROL!$C$15, $D$11, 100%, $F$11)</f>
        <v>23.723800000000001</v>
      </c>
      <c r="D806" s="8">
        <f>CHOOSE( CONTROL!$C$32, 23.7267, 23.7256) * CHOOSE( CONTROL!$C$15, $D$11, 100%, $F$11)</f>
        <v>23.726700000000001</v>
      </c>
      <c r="E806" s="12">
        <f>CHOOSE( CONTROL!$C$32, 23.7252, 23.7241) * CHOOSE( CONTROL!$C$15, $D$11, 100%, $F$11)</f>
        <v>23.725200000000001</v>
      </c>
      <c r="F806" s="4">
        <f>CHOOSE( CONTROL!$C$32, 24.4271, 24.4261) * CHOOSE(CONTROL!$C$15, $D$11, 100%, $F$11)</f>
        <v>24.427099999999999</v>
      </c>
      <c r="G806" s="8">
        <f>CHOOSE( CONTROL!$C$32, 23.4528, 23.4517) * CHOOSE( CONTROL!$C$15, $D$11, 100%, $F$11)</f>
        <v>23.4528</v>
      </c>
      <c r="H806" s="4">
        <f>CHOOSE( CONTROL!$C$32, 24.3877, 24.3867) * CHOOSE(CONTROL!$C$15, $D$11, 100%, $F$11)</f>
        <v>24.387699999999999</v>
      </c>
      <c r="I806" s="8">
        <f>CHOOSE( CONTROL!$C$32, 23.1402, 23.1392) * CHOOSE(CONTROL!$C$15, $D$11, 100%, $F$11)</f>
        <v>23.1402</v>
      </c>
      <c r="J806" s="4">
        <f>CHOOSE( CONTROL!$C$32, 23.0096, 23.0086) * CHOOSE(CONTROL!$C$15, $D$11, 100%, $F$11)</f>
        <v>23.009599999999999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1.2927</v>
      </c>
      <c r="Q806" s="9">
        <v>19.688099999999999</v>
      </c>
      <c r="R806" s="9"/>
      <c r="S806" s="11"/>
    </row>
    <row r="807" spans="1:19" ht="15.75">
      <c r="A807" s="13">
        <v>65714</v>
      </c>
      <c r="B807" s="8">
        <f>CHOOSE( CONTROL!$C$32, 25.5794, 25.5783) * CHOOSE(CONTROL!$C$15, $D$11, 100%, $F$11)</f>
        <v>25.5794</v>
      </c>
      <c r="C807" s="8">
        <f>CHOOSE( CONTROL!$C$32, 25.5844, 25.5834) * CHOOSE(CONTROL!$C$15, $D$11, 100%, $F$11)</f>
        <v>25.584399999999999</v>
      </c>
      <c r="D807" s="8">
        <f>CHOOSE( CONTROL!$C$32, 25.5666, 25.5655) * CHOOSE( CONTROL!$C$15, $D$11, 100%, $F$11)</f>
        <v>25.566600000000001</v>
      </c>
      <c r="E807" s="12">
        <f>CHOOSE( CONTROL!$C$32, 25.5726, 25.5715) * CHOOSE( CONTROL!$C$15, $D$11, 100%, $F$11)</f>
        <v>25.572600000000001</v>
      </c>
      <c r="F807" s="4">
        <f>CHOOSE( CONTROL!$C$32, 26.2446, 26.2436) * CHOOSE(CONTROL!$C$15, $D$11, 100%, $F$11)</f>
        <v>26.244599999999998</v>
      </c>
      <c r="G807" s="8">
        <f>CHOOSE( CONTROL!$C$32, 25.2914, 25.2903) * CHOOSE( CONTROL!$C$15, $D$11, 100%, $F$11)</f>
        <v>25.291399999999999</v>
      </c>
      <c r="H807" s="4">
        <f>CHOOSE( CONTROL!$C$32, 26.1839, 26.1829) * CHOOSE(CONTROL!$C$15, $D$11, 100%, $F$11)</f>
        <v>26.183900000000001</v>
      </c>
      <c r="I807" s="8">
        <f>CHOOSE( CONTROL!$C$32, 25.0093, 25.0082) * CHOOSE(CONTROL!$C$15, $D$11, 100%, $F$11)</f>
        <v>25.0093</v>
      </c>
      <c r="J807" s="4">
        <f>CHOOSE( CONTROL!$C$32, 24.816, 24.815) * CHOOSE(CONTROL!$C$15, $D$11, 100%, $F$11)</f>
        <v>24.815999999999999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65745</v>
      </c>
      <c r="B808" s="8">
        <f>CHOOSE( CONTROL!$C$32, 25.5329, 25.5318) * CHOOSE(CONTROL!$C$15, $D$11, 100%, $F$11)</f>
        <v>25.532900000000001</v>
      </c>
      <c r="C808" s="8">
        <f>CHOOSE( CONTROL!$C$32, 25.5379, 25.5369) * CHOOSE(CONTROL!$C$15, $D$11, 100%, $F$11)</f>
        <v>25.5379</v>
      </c>
      <c r="D808" s="8">
        <f>CHOOSE( CONTROL!$C$32, 25.5215, 25.5205) * CHOOSE( CONTROL!$C$15, $D$11, 100%, $F$11)</f>
        <v>25.5215</v>
      </c>
      <c r="E808" s="12">
        <f>CHOOSE( CONTROL!$C$32, 25.527, 25.526) * CHOOSE( CONTROL!$C$15, $D$11, 100%, $F$11)</f>
        <v>25.527000000000001</v>
      </c>
      <c r="F808" s="4">
        <f>CHOOSE( CONTROL!$C$32, 26.1981, 26.1971) * CHOOSE(CONTROL!$C$15, $D$11, 100%, $F$11)</f>
        <v>26.1981</v>
      </c>
      <c r="G808" s="8">
        <f>CHOOSE( CONTROL!$C$32, 25.2465, 25.2454) * CHOOSE( CONTROL!$C$15, $D$11, 100%, $F$11)</f>
        <v>25.246500000000001</v>
      </c>
      <c r="H808" s="4">
        <f>CHOOSE( CONTROL!$C$32, 26.138, 26.1369) * CHOOSE(CONTROL!$C$15, $D$11, 100%, $F$11)</f>
        <v>26.138000000000002</v>
      </c>
      <c r="I808" s="8">
        <f>CHOOSE( CONTROL!$C$32, 24.9686, 24.9675) * CHOOSE(CONTROL!$C$15, $D$11, 100%, $F$11)</f>
        <v>24.968599999999999</v>
      </c>
      <c r="J808" s="4">
        <f>CHOOSE( CONTROL!$C$32, 24.7709, 24.7698) * CHOOSE(CONTROL!$C$15, $D$11, 100%, $F$11)</f>
        <v>24.770900000000001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65776</v>
      </c>
      <c r="B809" s="8">
        <f>CHOOSE( CONTROL!$C$32, 26.2857, 26.2846) * CHOOSE(CONTROL!$C$15, $D$11, 100%, $F$11)</f>
        <v>26.285699999999999</v>
      </c>
      <c r="C809" s="8">
        <f>CHOOSE( CONTROL!$C$32, 26.2908, 26.2897) * CHOOSE(CONTROL!$C$15, $D$11, 100%, $F$11)</f>
        <v>26.290800000000001</v>
      </c>
      <c r="D809" s="8">
        <f>CHOOSE( CONTROL!$C$32, 26.2695, 26.2684) * CHOOSE( CONTROL!$C$15, $D$11, 100%, $F$11)</f>
        <v>26.269500000000001</v>
      </c>
      <c r="E809" s="12">
        <f>CHOOSE( CONTROL!$C$32, 26.2767, 26.2756) * CHOOSE( CONTROL!$C$15, $D$11, 100%, $F$11)</f>
        <v>26.276700000000002</v>
      </c>
      <c r="F809" s="4">
        <f>CHOOSE( CONTROL!$C$32, 26.951, 26.9499) * CHOOSE(CONTROL!$C$15, $D$11, 100%, $F$11)</f>
        <v>26.951000000000001</v>
      </c>
      <c r="G809" s="8">
        <f>CHOOSE( CONTROL!$C$32, 25.98, 25.9789) * CHOOSE( CONTROL!$C$15, $D$11, 100%, $F$11)</f>
        <v>25.98</v>
      </c>
      <c r="H809" s="4">
        <f>CHOOSE( CONTROL!$C$32, 26.882, 26.8809) * CHOOSE(CONTROL!$C$15, $D$11, 100%, $F$11)</f>
        <v>26.882000000000001</v>
      </c>
      <c r="I809" s="8">
        <f>CHOOSE( CONTROL!$C$32, 25.6616, 25.6606) * CHOOSE(CONTROL!$C$15, $D$11, 100%, $F$11)</f>
        <v>25.6616</v>
      </c>
      <c r="J809" s="4">
        <f>CHOOSE( CONTROL!$C$32, 25.5015, 25.5005) * CHOOSE(CONTROL!$C$15, $D$11, 100%, $F$11)</f>
        <v>25.5015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65805</v>
      </c>
      <c r="B810" s="8">
        <f>CHOOSE( CONTROL!$C$32, 24.587, 24.5859) * CHOOSE(CONTROL!$C$15, $D$11, 100%, $F$11)</f>
        <v>24.587</v>
      </c>
      <c r="C810" s="8">
        <f>CHOOSE( CONTROL!$C$32, 24.5921, 24.591) * CHOOSE(CONTROL!$C$15, $D$11, 100%, $F$11)</f>
        <v>24.592099999999999</v>
      </c>
      <c r="D810" s="8">
        <f>CHOOSE( CONTROL!$C$32, 24.5707, 24.5696) * CHOOSE( CONTROL!$C$15, $D$11, 100%, $F$11)</f>
        <v>24.570699999999999</v>
      </c>
      <c r="E810" s="12">
        <f>CHOOSE( CONTROL!$C$32, 24.578, 24.5769) * CHOOSE( CONTROL!$C$15, $D$11, 100%, $F$11)</f>
        <v>24.577999999999999</v>
      </c>
      <c r="F810" s="4">
        <f>CHOOSE( CONTROL!$C$32, 25.2523, 25.2512) * CHOOSE(CONTROL!$C$15, $D$11, 100%, $F$11)</f>
        <v>25.252300000000002</v>
      </c>
      <c r="G810" s="8">
        <f>CHOOSE( CONTROL!$C$32, 24.3011, 24.3) * CHOOSE( CONTROL!$C$15, $D$11, 100%, $F$11)</f>
        <v>24.301100000000002</v>
      </c>
      <c r="H810" s="4">
        <f>CHOOSE( CONTROL!$C$32, 25.2032, 25.2022) * CHOOSE(CONTROL!$C$15, $D$11, 100%, $F$11)</f>
        <v>25.203199999999999</v>
      </c>
      <c r="I810" s="8">
        <f>CHOOSE( CONTROL!$C$32, 24.0118, 24.0108) * CHOOSE(CONTROL!$C$15, $D$11, 100%, $F$11)</f>
        <v>24.011800000000001</v>
      </c>
      <c r="J810" s="4">
        <f>CHOOSE( CONTROL!$C$32, 23.853, 23.8519) * CHOOSE(CONTROL!$C$15, $D$11, 100%, $F$11)</f>
        <v>23.853000000000002</v>
      </c>
      <c r="K810" s="4"/>
      <c r="L810" s="9">
        <v>27.415299999999998</v>
      </c>
      <c r="M810" s="9">
        <v>11.285299999999999</v>
      </c>
      <c r="N810" s="9">
        <v>4.6254999999999997</v>
      </c>
      <c r="O810" s="9">
        <v>0.34989999999999999</v>
      </c>
      <c r="P810" s="9">
        <v>1.2093</v>
      </c>
      <c r="Q810" s="9">
        <v>18.417899999999999</v>
      </c>
      <c r="R810" s="9"/>
      <c r="S810" s="11"/>
    </row>
    <row r="811" spans="1:19" ht="15.75">
      <c r="A811" s="13">
        <v>65836</v>
      </c>
      <c r="B811" s="8">
        <f>CHOOSE( CONTROL!$C$32, 24.0638, 24.0628) * CHOOSE(CONTROL!$C$15, $D$11, 100%, $F$11)</f>
        <v>24.063800000000001</v>
      </c>
      <c r="C811" s="8">
        <f>CHOOSE( CONTROL!$C$32, 24.0689, 24.0678) * CHOOSE(CONTROL!$C$15, $D$11, 100%, $F$11)</f>
        <v>24.068899999999999</v>
      </c>
      <c r="D811" s="8">
        <f>CHOOSE( CONTROL!$C$32, 24.0469, 24.0458) * CHOOSE( CONTROL!$C$15, $D$11, 100%, $F$11)</f>
        <v>24.046900000000001</v>
      </c>
      <c r="E811" s="12">
        <f>CHOOSE( CONTROL!$C$32, 24.0544, 24.0533) * CHOOSE( CONTROL!$C$15, $D$11, 100%, $F$11)</f>
        <v>24.054400000000001</v>
      </c>
      <c r="F811" s="4">
        <f>CHOOSE( CONTROL!$C$32, 24.7291, 24.728) * CHOOSE(CONTROL!$C$15, $D$11, 100%, $F$11)</f>
        <v>24.729099999999999</v>
      </c>
      <c r="G811" s="8">
        <f>CHOOSE( CONTROL!$C$32, 23.7836, 23.7825) * CHOOSE( CONTROL!$C$15, $D$11, 100%, $F$11)</f>
        <v>23.7836</v>
      </c>
      <c r="H811" s="4">
        <f>CHOOSE( CONTROL!$C$32, 24.6862, 24.6851) * CHOOSE(CONTROL!$C$15, $D$11, 100%, $F$11)</f>
        <v>24.686199999999999</v>
      </c>
      <c r="I811" s="8">
        <f>CHOOSE( CONTROL!$C$32, 23.5018, 23.5008) * CHOOSE(CONTROL!$C$15, $D$11, 100%, $F$11)</f>
        <v>23.501799999999999</v>
      </c>
      <c r="J811" s="4">
        <f>CHOOSE( CONTROL!$C$32, 23.3452, 23.3442) * CHOOSE(CONTROL!$C$15, $D$11, 100%, $F$11)</f>
        <v>23.345199999999998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65866</v>
      </c>
      <c r="B812" s="8">
        <f>CHOOSE( CONTROL!$C$32, 24.4302, 24.4291) * CHOOSE(CONTROL!$C$15, $D$11, 100%, $F$11)</f>
        <v>24.430199999999999</v>
      </c>
      <c r="C812" s="8">
        <f>CHOOSE( CONTROL!$C$32, 24.4347, 24.4336) * CHOOSE(CONTROL!$C$15, $D$11, 100%, $F$11)</f>
        <v>24.434699999999999</v>
      </c>
      <c r="D812" s="8">
        <f>CHOOSE( CONTROL!$C$32, 24.4375, 24.4365) * CHOOSE( CONTROL!$C$15, $D$11, 100%, $F$11)</f>
        <v>24.4375</v>
      </c>
      <c r="E812" s="12">
        <f>CHOOSE( CONTROL!$C$32, 24.4361, 24.435) * CHOOSE( CONTROL!$C$15, $D$11, 100%, $F$11)</f>
        <v>24.4361</v>
      </c>
      <c r="F812" s="4">
        <f>CHOOSE( CONTROL!$C$32, 25.1385, 25.1374) * CHOOSE(CONTROL!$C$15, $D$11, 100%, $F$11)</f>
        <v>25.138500000000001</v>
      </c>
      <c r="G812" s="8">
        <f>CHOOSE( CONTROL!$C$32, 24.1554, 24.1543) * CHOOSE( CONTROL!$C$15, $D$11, 100%, $F$11)</f>
        <v>24.1554</v>
      </c>
      <c r="H812" s="4">
        <f>CHOOSE( CONTROL!$C$32, 25.0908, 25.0897) * CHOOSE(CONTROL!$C$15, $D$11, 100%, $F$11)</f>
        <v>25.090800000000002</v>
      </c>
      <c r="I812" s="8">
        <f>CHOOSE( CONTROL!$C$32, 23.8291, 23.828) * CHOOSE(CONTROL!$C$15, $D$11, 100%, $F$11)</f>
        <v>23.8291</v>
      </c>
      <c r="J812" s="4">
        <f>CHOOSE( CONTROL!$C$32, 23.7, 23.699) * CHOOSE(CONTROL!$C$15, $D$11, 100%, $F$11)</f>
        <v>23.7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1.2509999999999999</v>
      </c>
      <c r="Q812" s="9">
        <v>19.053000000000001</v>
      </c>
      <c r="R812" s="9"/>
      <c r="S812" s="11"/>
    </row>
    <row r="813" spans="1:19" ht="15.75">
      <c r="A813" s="13">
        <v>65897</v>
      </c>
      <c r="B813" s="8">
        <f>CHOOSE( CONTROL!$C$32, 25.0828, 25.0811) * CHOOSE(CONTROL!$C$15, $D$11, 100%, $F$11)</f>
        <v>25.082799999999999</v>
      </c>
      <c r="C813" s="8">
        <f>CHOOSE( CONTROL!$C$32, 25.0908, 25.0891) * CHOOSE(CONTROL!$C$15, $D$11, 100%, $F$11)</f>
        <v>25.090800000000002</v>
      </c>
      <c r="D813" s="8">
        <f>CHOOSE( CONTROL!$C$32, 25.0875, 25.0859) * CHOOSE( CONTROL!$C$15, $D$11, 100%, $F$11)</f>
        <v>25.087499999999999</v>
      </c>
      <c r="E813" s="12">
        <f>CHOOSE( CONTROL!$C$32, 25.0875, 25.0858) * CHOOSE( CONTROL!$C$15, $D$11, 100%, $F$11)</f>
        <v>25.087499999999999</v>
      </c>
      <c r="F813" s="4">
        <f>CHOOSE( CONTROL!$C$32, 25.7897, 25.7881) * CHOOSE(CONTROL!$C$15, $D$11, 100%, $F$11)</f>
        <v>25.7897</v>
      </c>
      <c r="G813" s="8">
        <f>CHOOSE( CONTROL!$C$32, 24.7989, 24.7972) * CHOOSE( CONTROL!$C$15, $D$11, 100%, $F$11)</f>
        <v>24.7989</v>
      </c>
      <c r="H813" s="4">
        <f>CHOOSE( CONTROL!$C$32, 25.7344, 25.7327) * CHOOSE(CONTROL!$C$15, $D$11, 100%, $F$11)</f>
        <v>25.734400000000001</v>
      </c>
      <c r="I813" s="8">
        <f>CHOOSE( CONTROL!$C$32, 24.4607, 24.4591) * CHOOSE(CONTROL!$C$15, $D$11, 100%, $F$11)</f>
        <v>24.460699999999999</v>
      </c>
      <c r="J813" s="4">
        <f>CHOOSE( CONTROL!$C$32, 24.332, 24.3304) * CHOOSE(CONTROL!$C$15, $D$11, 100%, $F$11)</f>
        <v>24.332000000000001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1.2927</v>
      </c>
      <c r="Q813" s="9">
        <v>19.688099999999999</v>
      </c>
      <c r="R813" s="9"/>
      <c r="S813" s="11"/>
    </row>
    <row r="814" spans="1:19" ht="15.75">
      <c r="A814" s="13">
        <v>65927</v>
      </c>
      <c r="B814" s="8">
        <f>CHOOSE( CONTROL!$C$32, 24.6797, 24.6781) * CHOOSE(CONTROL!$C$15, $D$11, 100%, $F$11)</f>
        <v>24.6797</v>
      </c>
      <c r="C814" s="8">
        <f>CHOOSE( CONTROL!$C$32, 24.6877, 24.6861) * CHOOSE(CONTROL!$C$15, $D$11, 100%, $F$11)</f>
        <v>24.6877</v>
      </c>
      <c r="D814" s="8">
        <f>CHOOSE( CONTROL!$C$32, 24.6847, 24.683) * CHOOSE( CONTROL!$C$15, $D$11, 100%, $F$11)</f>
        <v>24.684699999999999</v>
      </c>
      <c r="E814" s="12">
        <f>CHOOSE( CONTROL!$C$32, 24.6846, 24.6829) * CHOOSE( CONTROL!$C$15, $D$11, 100%, $F$11)</f>
        <v>24.6846</v>
      </c>
      <c r="F814" s="4">
        <f>CHOOSE( CONTROL!$C$32, 25.3867, 25.385) * CHOOSE(CONTROL!$C$15, $D$11, 100%, $F$11)</f>
        <v>25.386700000000001</v>
      </c>
      <c r="G814" s="8">
        <f>CHOOSE( CONTROL!$C$32, 24.4007, 24.3991) * CHOOSE( CONTROL!$C$15, $D$11, 100%, $F$11)</f>
        <v>24.400700000000001</v>
      </c>
      <c r="H814" s="4">
        <f>CHOOSE( CONTROL!$C$32, 25.336, 25.3344) * CHOOSE(CONTROL!$C$15, $D$11, 100%, $F$11)</f>
        <v>25.335999999999999</v>
      </c>
      <c r="I814" s="8">
        <f>CHOOSE( CONTROL!$C$32, 24.0701, 24.0685) * CHOOSE(CONTROL!$C$15, $D$11, 100%, $F$11)</f>
        <v>24.0701</v>
      </c>
      <c r="J814" s="4">
        <f>CHOOSE( CONTROL!$C$32, 23.9409, 23.9393) * CHOOSE(CONTROL!$C$15, $D$11, 100%, $F$11)</f>
        <v>23.940899999999999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1.2509999999999999</v>
      </c>
      <c r="Q814" s="9">
        <v>19.053000000000001</v>
      </c>
      <c r="R814" s="9"/>
      <c r="S814" s="11"/>
    </row>
    <row r="815" spans="1:19" ht="15.75">
      <c r="A815" s="13">
        <v>65958</v>
      </c>
      <c r="B815" s="8">
        <f>CHOOSE( CONTROL!$C$32, 25.7412, 25.7395) * CHOOSE(CONTROL!$C$15, $D$11, 100%, $F$11)</f>
        <v>25.741199999999999</v>
      </c>
      <c r="C815" s="8">
        <f>CHOOSE( CONTROL!$C$32, 25.7491, 25.7475) * CHOOSE(CONTROL!$C$15, $D$11, 100%, $F$11)</f>
        <v>25.749099999999999</v>
      </c>
      <c r="D815" s="8">
        <f>CHOOSE( CONTROL!$C$32, 25.7463, 25.7447) * CHOOSE( CONTROL!$C$15, $D$11, 100%, $F$11)</f>
        <v>25.746300000000002</v>
      </c>
      <c r="E815" s="12">
        <f>CHOOSE( CONTROL!$C$32, 25.7461, 25.7445) * CHOOSE( CONTROL!$C$15, $D$11, 100%, $F$11)</f>
        <v>25.746099999999998</v>
      </c>
      <c r="F815" s="4">
        <f>CHOOSE( CONTROL!$C$32, 26.4481, 26.4464) * CHOOSE(CONTROL!$C$15, $D$11, 100%, $F$11)</f>
        <v>26.4481</v>
      </c>
      <c r="G815" s="8">
        <f>CHOOSE( CONTROL!$C$32, 25.4499, 25.4482) * CHOOSE( CONTROL!$C$15, $D$11, 100%, $F$11)</f>
        <v>25.4499</v>
      </c>
      <c r="H815" s="4">
        <f>CHOOSE( CONTROL!$C$32, 26.385, 26.3834) * CHOOSE(CONTROL!$C$15, $D$11, 100%, $F$11)</f>
        <v>26.385000000000002</v>
      </c>
      <c r="I815" s="8">
        <f>CHOOSE( CONTROL!$C$32, 25.1016, 25.0999) * CHOOSE(CONTROL!$C$15, $D$11, 100%, $F$11)</f>
        <v>25.101600000000001</v>
      </c>
      <c r="J815" s="4">
        <f>CHOOSE( CONTROL!$C$32, 24.971, 24.9694) * CHOOSE(CONTROL!$C$15, $D$11, 100%, $F$11)</f>
        <v>24.971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1.2927</v>
      </c>
      <c r="Q815" s="9">
        <v>19.688099999999999</v>
      </c>
      <c r="R815" s="9"/>
      <c r="S815" s="11"/>
    </row>
    <row r="816" spans="1:19" ht="15.75">
      <c r="A816" s="13">
        <v>65989</v>
      </c>
      <c r="B816" s="8">
        <f>CHOOSE( CONTROL!$C$32, 23.7551, 23.7535) * CHOOSE(CONTROL!$C$15, $D$11, 100%, $F$11)</f>
        <v>23.755099999999999</v>
      </c>
      <c r="C816" s="8">
        <f>CHOOSE( CONTROL!$C$32, 23.7631, 23.7614) * CHOOSE(CONTROL!$C$15, $D$11, 100%, $F$11)</f>
        <v>23.763100000000001</v>
      </c>
      <c r="D816" s="8">
        <f>CHOOSE( CONTROL!$C$32, 23.7604, 23.7587) * CHOOSE( CONTROL!$C$15, $D$11, 100%, $F$11)</f>
        <v>23.760400000000001</v>
      </c>
      <c r="E816" s="12">
        <f>CHOOSE( CONTROL!$C$32, 23.7602, 23.7585) * CHOOSE( CONTROL!$C$15, $D$11, 100%, $F$11)</f>
        <v>23.760200000000001</v>
      </c>
      <c r="F816" s="4">
        <f>CHOOSE( CONTROL!$C$32, 24.4621, 24.4604) * CHOOSE(CONTROL!$C$15, $D$11, 100%, $F$11)</f>
        <v>24.4621</v>
      </c>
      <c r="G816" s="8">
        <f>CHOOSE( CONTROL!$C$32, 23.4872, 23.4855) * CHOOSE( CONTROL!$C$15, $D$11, 100%, $F$11)</f>
        <v>23.487200000000001</v>
      </c>
      <c r="H816" s="4">
        <f>CHOOSE( CONTROL!$C$32, 24.4222, 24.4206) * CHOOSE(CONTROL!$C$15, $D$11, 100%, $F$11)</f>
        <v>24.4222</v>
      </c>
      <c r="I816" s="8">
        <f>CHOOSE( CONTROL!$C$32, 23.1735, 23.1719) * CHOOSE(CONTROL!$C$15, $D$11, 100%, $F$11)</f>
        <v>23.173500000000001</v>
      </c>
      <c r="J816" s="4">
        <f>CHOOSE( CONTROL!$C$32, 23.0435, 23.0419) * CHOOSE(CONTROL!$C$15, $D$11, 100%, $F$11)</f>
        <v>23.043500000000002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1.2927</v>
      </c>
      <c r="Q816" s="9">
        <v>19.688099999999999</v>
      </c>
      <c r="R816" s="9"/>
      <c r="S816" s="11"/>
    </row>
    <row r="817" spans="1:19" ht="15.75">
      <c r="A817" s="13">
        <v>66019</v>
      </c>
      <c r="B817" s="8">
        <f>CHOOSE( CONTROL!$C$32, 23.2578, 23.2561) * CHOOSE(CONTROL!$C$15, $D$11, 100%, $F$11)</f>
        <v>23.2578</v>
      </c>
      <c r="C817" s="8">
        <f>CHOOSE( CONTROL!$C$32, 23.2658, 23.2641) * CHOOSE(CONTROL!$C$15, $D$11, 100%, $F$11)</f>
        <v>23.265799999999999</v>
      </c>
      <c r="D817" s="8">
        <f>CHOOSE( CONTROL!$C$32, 23.263, 23.2614) * CHOOSE( CONTROL!$C$15, $D$11, 100%, $F$11)</f>
        <v>23.263000000000002</v>
      </c>
      <c r="E817" s="12">
        <f>CHOOSE( CONTROL!$C$32, 23.2628, 23.2612) * CHOOSE( CONTROL!$C$15, $D$11, 100%, $F$11)</f>
        <v>23.262799999999999</v>
      </c>
      <c r="F817" s="4">
        <f>CHOOSE( CONTROL!$C$32, 23.9647, 23.9631) * CHOOSE(CONTROL!$C$15, $D$11, 100%, $F$11)</f>
        <v>23.964700000000001</v>
      </c>
      <c r="G817" s="8">
        <f>CHOOSE( CONTROL!$C$32, 22.9956, 22.994) * CHOOSE( CONTROL!$C$15, $D$11, 100%, $F$11)</f>
        <v>22.9956</v>
      </c>
      <c r="H817" s="4">
        <f>CHOOSE( CONTROL!$C$32, 23.9307, 23.9291) * CHOOSE(CONTROL!$C$15, $D$11, 100%, $F$11)</f>
        <v>23.930700000000002</v>
      </c>
      <c r="I817" s="8">
        <f>CHOOSE( CONTROL!$C$32, 22.6904, 22.6888) * CHOOSE(CONTROL!$C$15, $D$11, 100%, $F$11)</f>
        <v>22.6904</v>
      </c>
      <c r="J817" s="4">
        <f>CHOOSE( CONTROL!$C$32, 22.5609, 22.5593) * CHOOSE(CONTROL!$C$15, $D$11, 100%, $F$11)</f>
        <v>22.5609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1.2509999999999999</v>
      </c>
      <c r="Q817" s="9">
        <v>19.053000000000001</v>
      </c>
      <c r="R817" s="9"/>
      <c r="S817" s="11"/>
    </row>
    <row r="818" spans="1:19" ht="15.75">
      <c r="A818" s="13">
        <v>66050</v>
      </c>
      <c r="B818" s="8">
        <f>CHOOSE( CONTROL!$C$32, 24.2881, 24.287) * CHOOSE(CONTROL!$C$15, $D$11, 100%, $F$11)</f>
        <v>24.2881</v>
      </c>
      <c r="C818" s="8">
        <f>CHOOSE( CONTROL!$C$32, 24.2934, 24.2924) * CHOOSE(CONTROL!$C$15, $D$11, 100%, $F$11)</f>
        <v>24.293399999999998</v>
      </c>
      <c r="D818" s="8">
        <f>CHOOSE( CONTROL!$C$32, 24.2964, 24.2953) * CHOOSE( CONTROL!$C$15, $D$11, 100%, $F$11)</f>
        <v>24.296399999999998</v>
      </c>
      <c r="E818" s="12">
        <f>CHOOSE( CONTROL!$C$32, 24.2948, 24.2938) * CHOOSE( CONTROL!$C$15, $D$11, 100%, $F$11)</f>
        <v>24.294799999999999</v>
      </c>
      <c r="F818" s="4">
        <f>CHOOSE( CONTROL!$C$32, 24.9968, 24.9957) * CHOOSE(CONTROL!$C$15, $D$11, 100%, $F$11)</f>
        <v>24.9968</v>
      </c>
      <c r="G818" s="8">
        <f>CHOOSE( CONTROL!$C$32, 24.0158, 24.0147) * CHOOSE( CONTROL!$C$15, $D$11, 100%, $F$11)</f>
        <v>24.015799999999999</v>
      </c>
      <c r="H818" s="4">
        <f>CHOOSE( CONTROL!$C$32, 24.9507, 24.9496) * CHOOSE(CONTROL!$C$15, $D$11, 100%, $F$11)</f>
        <v>24.950700000000001</v>
      </c>
      <c r="I818" s="8">
        <f>CHOOSE( CONTROL!$C$32, 23.6933, 23.6923) * CHOOSE(CONTROL!$C$15, $D$11, 100%, $F$11)</f>
        <v>23.693300000000001</v>
      </c>
      <c r="J818" s="4">
        <f>CHOOSE( CONTROL!$C$32, 23.5625, 23.5614) * CHOOSE(CONTROL!$C$15, $D$11, 100%, $F$11)</f>
        <v>23.5625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1.2927</v>
      </c>
      <c r="Q818" s="9">
        <v>19.688099999999999</v>
      </c>
      <c r="R818" s="9"/>
      <c r="S818" s="11"/>
    </row>
    <row r="819" spans="1:19" ht="15.75">
      <c r="A819" s="13">
        <v>66080</v>
      </c>
      <c r="B819" s="8">
        <f>CHOOSE( CONTROL!$C$32, 26.1937, 26.1926) * CHOOSE(CONTROL!$C$15, $D$11, 100%, $F$11)</f>
        <v>26.1937</v>
      </c>
      <c r="C819" s="8">
        <f>CHOOSE( CONTROL!$C$32, 26.1988, 26.1977) * CHOOSE(CONTROL!$C$15, $D$11, 100%, $F$11)</f>
        <v>26.198799999999999</v>
      </c>
      <c r="D819" s="8">
        <f>CHOOSE( CONTROL!$C$32, 26.181, 26.1799) * CHOOSE( CONTROL!$C$15, $D$11, 100%, $F$11)</f>
        <v>26.181000000000001</v>
      </c>
      <c r="E819" s="12">
        <f>CHOOSE( CONTROL!$C$32, 26.187, 26.1859) * CHOOSE( CONTROL!$C$15, $D$11, 100%, $F$11)</f>
        <v>26.187000000000001</v>
      </c>
      <c r="F819" s="4">
        <f>CHOOSE( CONTROL!$C$32, 26.859, 26.8579) * CHOOSE(CONTROL!$C$15, $D$11, 100%, $F$11)</f>
        <v>26.859000000000002</v>
      </c>
      <c r="G819" s="8">
        <f>CHOOSE( CONTROL!$C$32, 25.8986, 25.8975) * CHOOSE( CONTROL!$C$15, $D$11, 100%, $F$11)</f>
        <v>25.898599999999998</v>
      </c>
      <c r="H819" s="4">
        <f>CHOOSE( CONTROL!$C$32, 26.7911, 26.79) * CHOOSE(CONTROL!$C$15, $D$11, 100%, $F$11)</f>
        <v>26.7911</v>
      </c>
      <c r="I819" s="8">
        <f>CHOOSE( CONTROL!$C$32, 25.6058, 25.6047) * CHOOSE(CONTROL!$C$15, $D$11, 100%, $F$11)</f>
        <v>25.605799999999999</v>
      </c>
      <c r="J819" s="4">
        <f>CHOOSE( CONTROL!$C$32, 25.4123, 25.4112) * CHOOSE(CONTROL!$C$15, $D$11, 100%, $F$11)</f>
        <v>25.412299999999998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66111</v>
      </c>
      <c r="B820" s="8">
        <f>CHOOSE( CONTROL!$C$32, 26.1461, 26.145) * CHOOSE(CONTROL!$C$15, $D$11, 100%, $F$11)</f>
        <v>26.146100000000001</v>
      </c>
      <c r="C820" s="8">
        <f>CHOOSE( CONTROL!$C$32, 26.1512, 26.1501) * CHOOSE(CONTROL!$C$15, $D$11, 100%, $F$11)</f>
        <v>26.151199999999999</v>
      </c>
      <c r="D820" s="8">
        <f>CHOOSE( CONTROL!$C$32, 26.1348, 26.1337) * CHOOSE( CONTROL!$C$15, $D$11, 100%, $F$11)</f>
        <v>26.134799999999998</v>
      </c>
      <c r="E820" s="12">
        <f>CHOOSE( CONTROL!$C$32, 26.1403, 26.1392) * CHOOSE( CONTROL!$C$15, $D$11, 100%, $F$11)</f>
        <v>26.1403</v>
      </c>
      <c r="F820" s="4">
        <f>CHOOSE( CONTROL!$C$32, 26.8114, 26.8103) * CHOOSE(CONTROL!$C$15, $D$11, 100%, $F$11)</f>
        <v>26.811399999999999</v>
      </c>
      <c r="G820" s="8">
        <f>CHOOSE( CONTROL!$C$32, 25.8525, 25.8515) * CHOOSE( CONTROL!$C$15, $D$11, 100%, $F$11)</f>
        <v>25.852499999999999</v>
      </c>
      <c r="H820" s="4">
        <f>CHOOSE( CONTROL!$C$32, 26.744, 26.743) * CHOOSE(CONTROL!$C$15, $D$11, 100%, $F$11)</f>
        <v>26.744</v>
      </c>
      <c r="I820" s="8">
        <f>CHOOSE( CONTROL!$C$32, 25.564, 25.563) * CHOOSE(CONTROL!$C$15, $D$11, 100%, $F$11)</f>
        <v>25.564</v>
      </c>
      <c r="J820" s="4">
        <f>CHOOSE( CONTROL!$C$32, 25.366, 25.365) * CHOOSE(CONTROL!$C$15, $D$11, 100%, $F$11)</f>
        <v>25.366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66142</v>
      </c>
      <c r="B821" s="8">
        <f>CHOOSE( CONTROL!$C$32, 26.917, 26.9159) * CHOOSE(CONTROL!$C$15, $D$11, 100%, $F$11)</f>
        <v>26.917000000000002</v>
      </c>
      <c r="C821" s="8">
        <f>CHOOSE( CONTROL!$C$32, 26.9221, 26.921) * CHOOSE(CONTROL!$C$15, $D$11, 100%, $F$11)</f>
        <v>26.9221</v>
      </c>
      <c r="D821" s="8">
        <f>CHOOSE( CONTROL!$C$32, 26.9008, 26.8997) * CHOOSE( CONTROL!$C$15, $D$11, 100%, $F$11)</f>
        <v>26.9008</v>
      </c>
      <c r="E821" s="12">
        <f>CHOOSE( CONTROL!$C$32, 26.908, 26.9069) * CHOOSE( CONTROL!$C$15, $D$11, 100%, $F$11)</f>
        <v>26.908000000000001</v>
      </c>
      <c r="F821" s="4">
        <f>CHOOSE( CONTROL!$C$32, 27.5823, 27.5812) * CHOOSE(CONTROL!$C$15, $D$11, 100%, $F$11)</f>
        <v>27.5823</v>
      </c>
      <c r="G821" s="8">
        <f>CHOOSE( CONTROL!$C$32, 26.6039, 26.6029) * CHOOSE( CONTROL!$C$15, $D$11, 100%, $F$11)</f>
        <v>26.603899999999999</v>
      </c>
      <c r="H821" s="4">
        <f>CHOOSE( CONTROL!$C$32, 27.5059, 27.5049) * CHOOSE(CONTROL!$C$15, $D$11, 100%, $F$11)</f>
        <v>27.5059</v>
      </c>
      <c r="I821" s="8">
        <f>CHOOSE( CONTROL!$C$32, 26.2746, 26.2736) * CHOOSE(CONTROL!$C$15, $D$11, 100%, $F$11)</f>
        <v>26.2746</v>
      </c>
      <c r="J821" s="4">
        <f>CHOOSE( CONTROL!$C$32, 26.1142, 26.1132) * CHOOSE(CONTROL!$C$15, $D$11, 100%, $F$11)</f>
        <v>26.1142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66170</v>
      </c>
      <c r="B822" s="8">
        <f>CHOOSE( CONTROL!$C$32, 25.1775, 25.1765) * CHOOSE(CONTROL!$C$15, $D$11, 100%, $F$11)</f>
        <v>25.177499999999998</v>
      </c>
      <c r="C822" s="8">
        <f>CHOOSE( CONTROL!$C$32, 25.1826, 25.1815) * CHOOSE(CONTROL!$C$15, $D$11, 100%, $F$11)</f>
        <v>25.182600000000001</v>
      </c>
      <c r="D822" s="8">
        <f>CHOOSE( CONTROL!$C$32, 25.1612, 25.1601) * CHOOSE( CONTROL!$C$15, $D$11, 100%, $F$11)</f>
        <v>25.161200000000001</v>
      </c>
      <c r="E822" s="12">
        <f>CHOOSE( CONTROL!$C$32, 25.1685, 25.1674) * CHOOSE( CONTROL!$C$15, $D$11, 100%, $F$11)</f>
        <v>25.168500000000002</v>
      </c>
      <c r="F822" s="4">
        <f>CHOOSE( CONTROL!$C$32, 25.8428, 25.8417) * CHOOSE(CONTROL!$C$15, $D$11, 100%, $F$11)</f>
        <v>25.8428</v>
      </c>
      <c r="G822" s="8">
        <f>CHOOSE( CONTROL!$C$32, 24.8847, 24.8837) * CHOOSE( CONTROL!$C$15, $D$11, 100%, $F$11)</f>
        <v>24.884699999999999</v>
      </c>
      <c r="H822" s="4">
        <f>CHOOSE( CONTROL!$C$32, 25.7868, 25.7858) * CHOOSE(CONTROL!$C$15, $D$11, 100%, $F$11)</f>
        <v>25.786799999999999</v>
      </c>
      <c r="I822" s="8">
        <f>CHOOSE( CONTROL!$C$32, 24.5852, 24.5842) * CHOOSE(CONTROL!$C$15, $D$11, 100%, $F$11)</f>
        <v>24.5852</v>
      </c>
      <c r="J822" s="4">
        <f>CHOOSE( CONTROL!$C$32, 24.4261, 24.425) * CHOOSE(CONTROL!$C$15, $D$11, 100%, $F$11)</f>
        <v>24.426100000000002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66201</v>
      </c>
      <c r="B823" s="8">
        <f>CHOOSE( CONTROL!$C$32, 24.6418, 24.6407) * CHOOSE(CONTROL!$C$15, $D$11, 100%, $F$11)</f>
        <v>24.6418</v>
      </c>
      <c r="C823" s="8">
        <f>CHOOSE( CONTROL!$C$32, 24.6469, 24.6458) * CHOOSE(CONTROL!$C$15, $D$11, 100%, $F$11)</f>
        <v>24.646899999999999</v>
      </c>
      <c r="D823" s="8">
        <f>CHOOSE( CONTROL!$C$32, 24.6248, 24.6237) * CHOOSE( CONTROL!$C$15, $D$11, 100%, $F$11)</f>
        <v>24.6248</v>
      </c>
      <c r="E823" s="12">
        <f>CHOOSE( CONTROL!$C$32, 24.6323, 24.6312) * CHOOSE( CONTROL!$C$15, $D$11, 100%, $F$11)</f>
        <v>24.632300000000001</v>
      </c>
      <c r="F823" s="4">
        <f>CHOOSE( CONTROL!$C$32, 25.3071, 25.306) * CHOOSE(CONTROL!$C$15, $D$11, 100%, $F$11)</f>
        <v>25.307099999999998</v>
      </c>
      <c r="G823" s="8">
        <f>CHOOSE( CONTROL!$C$32, 24.3548, 24.3537) * CHOOSE( CONTROL!$C$15, $D$11, 100%, $F$11)</f>
        <v>24.354800000000001</v>
      </c>
      <c r="H823" s="4">
        <f>CHOOSE( CONTROL!$C$32, 25.2573, 25.2563) * CHOOSE(CONTROL!$C$15, $D$11, 100%, $F$11)</f>
        <v>25.257300000000001</v>
      </c>
      <c r="I823" s="8">
        <f>CHOOSE( CONTROL!$C$32, 24.063, 24.062) * CHOOSE(CONTROL!$C$15, $D$11, 100%, $F$11)</f>
        <v>24.062999999999999</v>
      </c>
      <c r="J823" s="4">
        <f>CHOOSE( CONTROL!$C$32, 23.9061, 23.9051) * CHOOSE(CONTROL!$C$15, $D$11, 100%, $F$11)</f>
        <v>23.906099999999999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66231</v>
      </c>
      <c r="B824" s="8">
        <f>CHOOSE( CONTROL!$C$32, 25.0169, 25.0158) * CHOOSE(CONTROL!$C$15, $D$11, 100%, $F$11)</f>
        <v>25.0169</v>
      </c>
      <c r="C824" s="8">
        <f>CHOOSE( CONTROL!$C$32, 25.0214, 25.0204) * CHOOSE(CONTROL!$C$15, $D$11, 100%, $F$11)</f>
        <v>25.0214</v>
      </c>
      <c r="D824" s="8">
        <f>CHOOSE( CONTROL!$C$32, 25.0243, 25.0232) * CHOOSE( CONTROL!$C$15, $D$11, 100%, $F$11)</f>
        <v>25.0243</v>
      </c>
      <c r="E824" s="12">
        <f>CHOOSE( CONTROL!$C$32, 25.0228, 25.0218) * CHOOSE( CONTROL!$C$15, $D$11, 100%, $F$11)</f>
        <v>25.0228</v>
      </c>
      <c r="F824" s="4">
        <f>CHOOSE( CONTROL!$C$32, 25.7252, 25.7242) * CHOOSE(CONTROL!$C$15, $D$11, 100%, $F$11)</f>
        <v>25.725200000000001</v>
      </c>
      <c r="G824" s="8">
        <f>CHOOSE( CONTROL!$C$32, 24.7352, 24.7342) * CHOOSE( CONTROL!$C$15, $D$11, 100%, $F$11)</f>
        <v>24.735199999999999</v>
      </c>
      <c r="H824" s="4">
        <f>CHOOSE( CONTROL!$C$32, 25.6706, 25.6695) * CHOOSE(CONTROL!$C$15, $D$11, 100%, $F$11)</f>
        <v>25.6706</v>
      </c>
      <c r="I824" s="8">
        <f>CHOOSE( CONTROL!$C$32, 24.3988, 24.3977) * CHOOSE(CONTROL!$C$15, $D$11, 100%, $F$11)</f>
        <v>24.398800000000001</v>
      </c>
      <c r="J824" s="4">
        <f>CHOOSE( CONTROL!$C$32, 24.2694, 24.2684) * CHOOSE(CONTROL!$C$15, $D$11, 100%, $F$11)</f>
        <v>24.269400000000001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1.2509999999999999</v>
      </c>
      <c r="Q824" s="9">
        <v>19.053000000000001</v>
      </c>
      <c r="R824" s="9"/>
      <c r="S824" s="11"/>
    </row>
    <row r="825" spans="1:19" ht="15.75">
      <c r="A825" s="13">
        <v>66262</v>
      </c>
      <c r="B825" s="8">
        <f>CHOOSE( CONTROL!$C$32, 25.6852, 25.6835) * CHOOSE(CONTROL!$C$15, $D$11, 100%, $F$11)</f>
        <v>25.685199999999998</v>
      </c>
      <c r="C825" s="8">
        <f>CHOOSE( CONTROL!$C$32, 25.6931, 25.6915) * CHOOSE(CONTROL!$C$15, $D$11, 100%, $F$11)</f>
        <v>25.693100000000001</v>
      </c>
      <c r="D825" s="8">
        <f>CHOOSE( CONTROL!$C$32, 25.6899, 25.6882) * CHOOSE( CONTROL!$C$15, $D$11, 100%, $F$11)</f>
        <v>25.689900000000002</v>
      </c>
      <c r="E825" s="12">
        <f>CHOOSE( CONTROL!$C$32, 25.6899, 25.6882) * CHOOSE( CONTROL!$C$15, $D$11, 100%, $F$11)</f>
        <v>25.689900000000002</v>
      </c>
      <c r="F825" s="4">
        <f>CHOOSE( CONTROL!$C$32, 26.3921, 26.3905) * CHOOSE(CONTROL!$C$15, $D$11, 100%, $F$11)</f>
        <v>26.392099999999999</v>
      </c>
      <c r="G825" s="8">
        <f>CHOOSE( CONTROL!$C$32, 25.3942, 25.3925) * CHOOSE( CONTROL!$C$15, $D$11, 100%, $F$11)</f>
        <v>25.394200000000001</v>
      </c>
      <c r="H825" s="4">
        <f>CHOOSE( CONTROL!$C$32, 26.3297, 26.328) * CHOOSE(CONTROL!$C$15, $D$11, 100%, $F$11)</f>
        <v>26.329699999999999</v>
      </c>
      <c r="I825" s="8">
        <f>CHOOSE( CONTROL!$C$32, 25.0456, 25.044) * CHOOSE(CONTROL!$C$15, $D$11, 100%, $F$11)</f>
        <v>25.0456</v>
      </c>
      <c r="J825" s="4">
        <f>CHOOSE( CONTROL!$C$32, 24.9166, 24.915) * CHOOSE(CONTROL!$C$15, $D$11, 100%, $F$11)</f>
        <v>24.916599999999999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1.2927</v>
      </c>
      <c r="Q825" s="9">
        <v>19.688099999999999</v>
      </c>
      <c r="R825" s="9"/>
      <c r="S825" s="11"/>
    </row>
    <row r="826" spans="1:19" ht="15.75">
      <c r="A826" s="13">
        <v>66292</v>
      </c>
      <c r="B826" s="8">
        <f>CHOOSE( CONTROL!$C$32, 25.2724, 25.2708) * CHOOSE(CONTROL!$C$15, $D$11, 100%, $F$11)</f>
        <v>25.272400000000001</v>
      </c>
      <c r="C826" s="8">
        <f>CHOOSE( CONTROL!$C$32, 25.2804, 25.2787) * CHOOSE(CONTROL!$C$15, $D$11, 100%, $F$11)</f>
        <v>25.2804</v>
      </c>
      <c r="D826" s="8">
        <f>CHOOSE( CONTROL!$C$32, 25.2774, 25.2757) * CHOOSE( CONTROL!$C$15, $D$11, 100%, $F$11)</f>
        <v>25.2774</v>
      </c>
      <c r="E826" s="12">
        <f>CHOOSE( CONTROL!$C$32, 25.2773, 25.2756) * CHOOSE( CONTROL!$C$15, $D$11, 100%, $F$11)</f>
        <v>25.2773</v>
      </c>
      <c r="F826" s="4">
        <f>CHOOSE( CONTROL!$C$32, 25.9794, 25.9777) * CHOOSE(CONTROL!$C$15, $D$11, 100%, $F$11)</f>
        <v>25.979399999999998</v>
      </c>
      <c r="G826" s="8">
        <f>CHOOSE( CONTROL!$C$32, 24.9864, 24.9848) * CHOOSE( CONTROL!$C$15, $D$11, 100%, $F$11)</f>
        <v>24.9864</v>
      </c>
      <c r="H826" s="4">
        <f>CHOOSE( CONTROL!$C$32, 25.9218, 25.9201) * CHOOSE(CONTROL!$C$15, $D$11, 100%, $F$11)</f>
        <v>25.921800000000001</v>
      </c>
      <c r="I826" s="8">
        <f>CHOOSE( CONTROL!$C$32, 24.6456, 24.644) * CHOOSE(CONTROL!$C$15, $D$11, 100%, $F$11)</f>
        <v>24.645600000000002</v>
      </c>
      <c r="J826" s="4">
        <f>CHOOSE( CONTROL!$C$32, 24.5161, 24.5145) * CHOOSE(CONTROL!$C$15, $D$11, 100%, $F$11)</f>
        <v>24.516100000000002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1.2509999999999999</v>
      </c>
      <c r="Q826" s="9">
        <v>19.053000000000001</v>
      </c>
      <c r="R826" s="9"/>
      <c r="S826" s="11"/>
    </row>
    <row r="827" spans="1:19" ht="15.75">
      <c r="A827" s="13">
        <v>66323</v>
      </c>
      <c r="B827" s="8">
        <f>CHOOSE( CONTROL!$C$32, 26.3593, 26.3577) * CHOOSE(CONTROL!$C$15, $D$11, 100%, $F$11)</f>
        <v>26.359300000000001</v>
      </c>
      <c r="C827" s="8">
        <f>CHOOSE( CONTROL!$C$32, 26.3673, 26.3657) * CHOOSE(CONTROL!$C$15, $D$11, 100%, $F$11)</f>
        <v>26.3673</v>
      </c>
      <c r="D827" s="8">
        <f>CHOOSE( CONTROL!$C$32, 26.3645, 26.3629) * CHOOSE( CONTROL!$C$15, $D$11, 100%, $F$11)</f>
        <v>26.3645</v>
      </c>
      <c r="E827" s="12">
        <f>CHOOSE( CONTROL!$C$32, 26.3643, 26.3627) * CHOOSE( CONTROL!$C$15, $D$11, 100%, $F$11)</f>
        <v>26.3643</v>
      </c>
      <c r="F827" s="4">
        <f>CHOOSE( CONTROL!$C$32, 27.0663, 27.0646) * CHOOSE(CONTROL!$C$15, $D$11, 100%, $F$11)</f>
        <v>27.066299999999998</v>
      </c>
      <c r="G827" s="8">
        <f>CHOOSE( CONTROL!$C$32, 26.0608, 26.0592) * CHOOSE( CONTROL!$C$15, $D$11, 100%, $F$11)</f>
        <v>26.0608</v>
      </c>
      <c r="H827" s="4">
        <f>CHOOSE( CONTROL!$C$32, 26.996, 26.9943) * CHOOSE(CONTROL!$C$15, $D$11, 100%, $F$11)</f>
        <v>26.995999999999999</v>
      </c>
      <c r="I827" s="8">
        <f>CHOOSE( CONTROL!$C$32, 25.7018, 25.7002) * CHOOSE(CONTROL!$C$15, $D$11, 100%, $F$11)</f>
        <v>25.701799999999999</v>
      </c>
      <c r="J827" s="4">
        <f>CHOOSE( CONTROL!$C$32, 25.5709, 25.5693) * CHOOSE(CONTROL!$C$15, $D$11, 100%, $F$11)</f>
        <v>25.570900000000002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1.2927</v>
      </c>
      <c r="Q827" s="9">
        <v>19.688099999999999</v>
      </c>
      <c r="R827" s="9"/>
      <c r="S827" s="11"/>
    </row>
    <row r="828" spans="1:19" ht="15.75">
      <c r="A828" s="13">
        <v>66354</v>
      </c>
      <c r="B828" s="8">
        <f>CHOOSE( CONTROL!$C$32, 24.3256, 24.3239) * CHOOSE(CONTROL!$C$15, $D$11, 100%, $F$11)</f>
        <v>24.325600000000001</v>
      </c>
      <c r="C828" s="8">
        <f>CHOOSE( CONTROL!$C$32, 24.3336, 24.3319) * CHOOSE(CONTROL!$C$15, $D$11, 100%, $F$11)</f>
        <v>24.333600000000001</v>
      </c>
      <c r="D828" s="8">
        <f>CHOOSE( CONTROL!$C$32, 24.3309, 24.3292) * CHOOSE( CONTROL!$C$15, $D$11, 100%, $F$11)</f>
        <v>24.3309</v>
      </c>
      <c r="E828" s="12">
        <f>CHOOSE( CONTROL!$C$32, 24.3307, 24.329) * CHOOSE( CONTROL!$C$15, $D$11, 100%, $F$11)</f>
        <v>24.3307</v>
      </c>
      <c r="F828" s="4">
        <f>CHOOSE( CONTROL!$C$32, 25.0325, 25.0309) * CHOOSE(CONTROL!$C$15, $D$11, 100%, $F$11)</f>
        <v>25.032499999999999</v>
      </c>
      <c r="G828" s="8">
        <f>CHOOSE( CONTROL!$C$32, 24.051, 24.0493) * CHOOSE( CONTROL!$C$15, $D$11, 100%, $F$11)</f>
        <v>24.050999999999998</v>
      </c>
      <c r="H828" s="4">
        <f>CHOOSE( CONTROL!$C$32, 24.986, 24.9844) * CHOOSE(CONTROL!$C$15, $D$11, 100%, $F$11)</f>
        <v>24.986000000000001</v>
      </c>
      <c r="I828" s="8">
        <f>CHOOSE( CONTROL!$C$32, 23.7274, 23.7258) * CHOOSE(CONTROL!$C$15, $D$11, 100%, $F$11)</f>
        <v>23.727399999999999</v>
      </c>
      <c r="J828" s="4">
        <f>CHOOSE( CONTROL!$C$32, 23.5972, 23.5956) * CHOOSE(CONTROL!$C$15, $D$11, 100%, $F$11)</f>
        <v>23.597200000000001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1.2927</v>
      </c>
      <c r="Q828" s="9">
        <v>19.688099999999999</v>
      </c>
      <c r="R828" s="9"/>
      <c r="S828" s="11"/>
    </row>
    <row r="829" spans="1:19" ht="15.75">
      <c r="A829" s="13">
        <v>66384</v>
      </c>
      <c r="B829" s="8">
        <f>CHOOSE( CONTROL!$C$32, 23.8163, 23.8147) * CHOOSE(CONTROL!$C$15, $D$11, 100%, $F$11)</f>
        <v>23.816299999999998</v>
      </c>
      <c r="C829" s="8">
        <f>CHOOSE( CONTROL!$C$32, 23.8243, 23.8226) * CHOOSE(CONTROL!$C$15, $D$11, 100%, $F$11)</f>
        <v>23.824300000000001</v>
      </c>
      <c r="D829" s="8">
        <f>CHOOSE( CONTROL!$C$32, 23.8215, 23.8199) * CHOOSE( CONTROL!$C$15, $D$11, 100%, $F$11)</f>
        <v>23.8215</v>
      </c>
      <c r="E829" s="12">
        <f>CHOOSE( CONTROL!$C$32, 23.8213, 23.8197) * CHOOSE( CONTROL!$C$15, $D$11, 100%, $F$11)</f>
        <v>23.821300000000001</v>
      </c>
      <c r="F829" s="4">
        <f>CHOOSE( CONTROL!$C$32, 24.5233, 24.5216) * CHOOSE(CONTROL!$C$15, $D$11, 100%, $F$11)</f>
        <v>24.523299999999999</v>
      </c>
      <c r="G829" s="8">
        <f>CHOOSE( CONTROL!$C$32, 23.5476, 23.546) * CHOOSE( CONTROL!$C$15, $D$11, 100%, $F$11)</f>
        <v>23.547599999999999</v>
      </c>
      <c r="H829" s="4">
        <f>CHOOSE( CONTROL!$C$32, 24.4827, 24.4811) * CHOOSE(CONTROL!$C$15, $D$11, 100%, $F$11)</f>
        <v>24.482700000000001</v>
      </c>
      <c r="I829" s="8">
        <f>CHOOSE( CONTROL!$C$32, 23.2327, 23.2311) * CHOOSE(CONTROL!$C$15, $D$11, 100%, $F$11)</f>
        <v>23.232700000000001</v>
      </c>
      <c r="J829" s="4">
        <f>CHOOSE( CONTROL!$C$32, 23.1029, 23.1013) * CHOOSE(CONTROL!$C$15, $D$11, 100%, $F$11)</f>
        <v>23.102900000000002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1.2509999999999999</v>
      </c>
      <c r="Q829" s="9">
        <v>19.053000000000001</v>
      </c>
      <c r="R829" s="9"/>
      <c r="S829" s="11"/>
    </row>
    <row r="830" spans="1:19" ht="15.75">
      <c r="A830" s="13">
        <v>66415</v>
      </c>
      <c r="B830" s="8">
        <f>CHOOSE( CONTROL!$C$32, 24.8714, 24.8704) * CHOOSE(CONTROL!$C$15, $D$11, 100%, $F$11)</f>
        <v>24.871400000000001</v>
      </c>
      <c r="C830" s="8">
        <f>CHOOSE( CONTROL!$C$32, 24.8768, 24.8757) * CHOOSE(CONTROL!$C$15, $D$11, 100%, $F$11)</f>
        <v>24.876799999999999</v>
      </c>
      <c r="D830" s="8">
        <f>CHOOSE( CONTROL!$C$32, 24.8797, 24.8786) * CHOOSE( CONTROL!$C$15, $D$11, 100%, $F$11)</f>
        <v>24.8797</v>
      </c>
      <c r="E830" s="12">
        <f>CHOOSE( CONTROL!$C$32, 24.8782, 24.8771) * CHOOSE( CONTROL!$C$15, $D$11, 100%, $F$11)</f>
        <v>24.8782</v>
      </c>
      <c r="F830" s="4">
        <f>CHOOSE( CONTROL!$C$32, 25.5801, 25.579) * CHOOSE(CONTROL!$C$15, $D$11, 100%, $F$11)</f>
        <v>25.580100000000002</v>
      </c>
      <c r="G830" s="8">
        <f>CHOOSE( CONTROL!$C$32, 24.5923, 24.5912) * CHOOSE( CONTROL!$C$15, $D$11, 100%, $F$11)</f>
        <v>24.592300000000002</v>
      </c>
      <c r="H830" s="4">
        <f>CHOOSE( CONTROL!$C$32, 25.5272, 25.5261) * CHOOSE(CONTROL!$C$15, $D$11, 100%, $F$11)</f>
        <v>25.527200000000001</v>
      </c>
      <c r="I830" s="8">
        <f>CHOOSE( CONTROL!$C$32, 24.2597, 24.2587) * CHOOSE(CONTROL!$C$15, $D$11, 100%, $F$11)</f>
        <v>24.259699999999999</v>
      </c>
      <c r="J830" s="4">
        <f>CHOOSE( CONTROL!$C$32, 24.1286, 24.1275) * CHOOSE(CONTROL!$C$15, $D$11, 100%, $F$11)</f>
        <v>24.128599999999999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1.2927</v>
      </c>
      <c r="Q830" s="9">
        <v>19.688099999999999</v>
      </c>
      <c r="R830" s="9"/>
      <c r="S830" s="11"/>
    </row>
    <row r="831" spans="1:19" ht="15.75">
      <c r="A831" s="13">
        <v>66445</v>
      </c>
      <c r="B831" s="8">
        <f>CHOOSE( CONTROL!$C$32, 26.8229, 26.8218) * CHOOSE(CONTROL!$C$15, $D$11, 100%, $F$11)</f>
        <v>26.822900000000001</v>
      </c>
      <c r="C831" s="8">
        <f>CHOOSE( CONTROL!$C$32, 26.8279, 26.8268) * CHOOSE(CONTROL!$C$15, $D$11, 100%, $F$11)</f>
        <v>26.8279</v>
      </c>
      <c r="D831" s="8">
        <f>CHOOSE( CONTROL!$C$32, 26.8101, 26.809) * CHOOSE( CONTROL!$C$15, $D$11, 100%, $F$11)</f>
        <v>26.810099999999998</v>
      </c>
      <c r="E831" s="12">
        <f>CHOOSE( CONTROL!$C$32, 26.8161, 26.815) * CHOOSE( CONTROL!$C$15, $D$11, 100%, $F$11)</f>
        <v>26.816099999999999</v>
      </c>
      <c r="F831" s="4">
        <f>CHOOSE( CONTROL!$C$32, 27.4881, 27.487) * CHOOSE(CONTROL!$C$15, $D$11, 100%, $F$11)</f>
        <v>27.488099999999999</v>
      </c>
      <c r="G831" s="8">
        <f>CHOOSE( CONTROL!$C$32, 26.5203, 26.5192) * CHOOSE( CONTROL!$C$15, $D$11, 100%, $F$11)</f>
        <v>26.520299999999999</v>
      </c>
      <c r="H831" s="4">
        <f>CHOOSE( CONTROL!$C$32, 27.4129, 27.4118) * CHOOSE(CONTROL!$C$15, $D$11, 100%, $F$11)</f>
        <v>27.4129</v>
      </c>
      <c r="I831" s="8">
        <f>CHOOSE( CONTROL!$C$32, 26.2167, 26.2156) * CHOOSE(CONTROL!$C$15, $D$11, 100%, $F$11)</f>
        <v>26.216699999999999</v>
      </c>
      <c r="J831" s="4">
        <f>CHOOSE( CONTROL!$C$32, 26.0228, 26.0218) * CHOOSE(CONTROL!$C$15, $D$11, 100%, $F$11)</f>
        <v>26.0228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66476</v>
      </c>
      <c r="B832" s="8">
        <f>CHOOSE( CONTROL!$C$32, 26.7741, 26.773) * CHOOSE(CONTROL!$C$15, $D$11, 100%, $F$11)</f>
        <v>26.774100000000001</v>
      </c>
      <c r="C832" s="8">
        <f>CHOOSE( CONTROL!$C$32, 26.7792, 26.7781) * CHOOSE(CONTROL!$C$15, $D$11, 100%, $F$11)</f>
        <v>26.779199999999999</v>
      </c>
      <c r="D832" s="8">
        <f>CHOOSE( CONTROL!$C$32, 26.7628, 26.7617) * CHOOSE( CONTROL!$C$15, $D$11, 100%, $F$11)</f>
        <v>26.762799999999999</v>
      </c>
      <c r="E832" s="12">
        <f>CHOOSE( CONTROL!$C$32, 26.7683, 26.7672) * CHOOSE( CONTROL!$C$15, $D$11, 100%, $F$11)</f>
        <v>26.7683</v>
      </c>
      <c r="F832" s="4">
        <f>CHOOSE( CONTROL!$C$32, 27.4394, 27.4383) * CHOOSE(CONTROL!$C$15, $D$11, 100%, $F$11)</f>
        <v>27.439399999999999</v>
      </c>
      <c r="G832" s="8">
        <f>CHOOSE( CONTROL!$C$32, 26.4731, 26.4721) * CHOOSE( CONTROL!$C$15, $D$11, 100%, $F$11)</f>
        <v>26.473099999999999</v>
      </c>
      <c r="H832" s="4">
        <f>CHOOSE( CONTROL!$C$32, 27.3647, 27.3636) * CHOOSE(CONTROL!$C$15, $D$11, 100%, $F$11)</f>
        <v>27.364699999999999</v>
      </c>
      <c r="I832" s="8">
        <f>CHOOSE( CONTROL!$C$32, 26.1738, 26.1727) * CHOOSE(CONTROL!$C$15, $D$11, 100%, $F$11)</f>
        <v>26.1738</v>
      </c>
      <c r="J832" s="4">
        <f>CHOOSE( CONTROL!$C$32, 25.9755, 25.9744) * CHOOSE(CONTROL!$C$15, $D$11, 100%, $F$11)</f>
        <v>25.9755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66507</v>
      </c>
      <c r="B833" s="8">
        <f>CHOOSE( CONTROL!$C$32, 27.5635, 27.5625) * CHOOSE(CONTROL!$C$15, $D$11, 100%, $F$11)</f>
        <v>27.563500000000001</v>
      </c>
      <c r="C833" s="8">
        <f>CHOOSE( CONTROL!$C$32, 27.5686, 27.5675) * CHOOSE(CONTROL!$C$15, $D$11, 100%, $F$11)</f>
        <v>27.5686</v>
      </c>
      <c r="D833" s="8">
        <f>CHOOSE( CONTROL!$C$32, 27.5473, 27.5462) * CHOOSE( CONTROL!$C$15, $D$11, 100%, $F$11)</f>
        <v>27.5473</v>
      </c>
      <c r="E833" s="12">
        <f>CHOOSE( CONTROL!$C$32, 27.5545, 27.5535) * CHOOSE( CONTROL!$C$15, $D$11, 100%, $F$11)</f>
        <v>27.554500000000001</v>
      </c>
      <c r="F833" s="4">
        <f>CHOOSE( CONTROL!$C$32, 28.2288, 28.2277) * CHOOSE(CONTROL!$C$15, $D$11, 100%, $F$11)</f>
        <v>28.2288</v>
      </c>
      <c r="G833" s="8">
        <f>CHOOSE( CONTROL!$C$32, 27.2429, 27.2418) * CHOOSE( CONTROL!$C$15, $D$11, 100%, $F$11)</f>
        <v>27.242899999999999</v>
      </c>
      <c r="H833" s="4">
        <f>CHOOSE( CONTROL!$C$32, 28.1449, 28.1438) * CHOOSE(CONTROL!$C$15, $D$11, 100%, $F$11)</f>
        <v>28.1449</v>
      </c>
      <c r="I833" s="8">
        <f>CHOOSE( CONTROL!$C$32, 26.9024, 26.9013) * CHOOSE(CONTROL!$C$15, $D$11, 100%, $F$11)</f>
        <v>26.9024</v>
      </c>
      <c r="J833" s="4">
        <f>CHOOSE( CONTROL!$C$32, 26.7417, 26.7406) * CHOOSE(CONTROL!$C$15, $D$11, 100%, $F$11)</f>
        <v>26.741700000000002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66535</v>
      </c>
      <c r="B834" s="8">
        <f>CHOOSE( CONTROL!$C$32, 25.7823, 25.7812) * CHOOSE(CONTROL!$C$15, $D$11, 100%, $F$11)</f>
        <v>25.782299999999999</v>
      </c>
      <c r="C834" s="8">
        <f>CHOOSE( CONTROL!$C$32, 25.7873, 25.7862) * CHOOSE(CONTROL!$C$15, $D$11, 100%, $F$11)</f>
        <v>25.787299999999998</v>
      </c>
      <c r="D834" s="8">
        <f>CHOOSE( CONTROL!$C$32, 25.7659, 25.7648) * CHOOSE( CONTROL!$C$15, $D$11, 100%, $F$11)</f>
        <v>25.765899999999998</v>
      </c>
      <c r="E834" s="12">
        <f>CHOOSE( CONTROL!$C$32, 25.7732, 25.7721) * CHOOSE( CONTROL!$C$15, $D$11, 100%, $F$11)</f>
        <v>25.773199999999999</v>
      </c>
      <c r="F834" s="4">
        <f>CHOOSE( CONTROL!$C$32, 26.4475, 26.4465) * CHOOSE(CONTROL!$C$15, $D$11, 100%, $F$11)</f>
        <v>26.447500000000002</v>
      </c>
      <c r="G834" s="8">
        <f>CHOOSE( CONTROL!$C$32, 25.4824, 25.4813) * CHOOSE( CONTROL!$C$15, $D$11, 100%, $F$11)</f>
        <v>25.482399999999998</v>
      </c>
      <c r="H834" s="4">
        <f>CHOOSE( CONTROL!$C$32, 26.3845, 26.3834) * CHOOSE(CONTROL!$C$15, $D$11, 100%, $F$11)</f>
        <v>26.384499999999999</v>
      </c>
      <c r="I834" s="8">
        <f>CHOOSE( CONTROL!$C$32, 25.1724, 25.1713) * CHOOSE(CONTROL!$C$15, $D$11, 100%, $F$11)</f>
        <v>25.1724</v>
      </c>
      <c r="J834" s="4">
        <f>CHOOSE( CONTROL!$C$32, 25.0129, 25.0119) * CHOOSE(CONTROL!$C$15, $D$11, 100%, $F$11)</f>
        <v>25.012899999999998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66566</v>
      </c>
      <c r="B835" s="8">
        <f>CHOOSE( CONTROL!$C$32, 25.2336, 25.2325) * CHOOSE(CONTROL!$C$15, $D$11, 100%, $F$11)</f>
        <v>25.233599999999999</v>
      </c>
      <c r="C835" s="8">
        <f>CHOOSE( CONTROL!$C$32, 25.2387, 25.2376) * CHOOSE(CONTROL!$C$15, $D$11, 100%, $F$11)</f>
        <v>25.238700000000001</v>
      </c>
      <c r="D835" s="8">
        <f>CHOOSE( CONTROL!$C$32, 25.2166, 25.2156) * CHOOSE( CONTROL!$C$15, $D$11, 100%, $F$11)</f>
        <v>25.2166</v>
      </c>
      <c r="E835" s="12">
        <f>CHOOSE( CONTROL!$C$32, 25.2241, 25.2231) * CHOOSE( CONTROL!$C$15, $D$11, 100%, $F$11)</f>
        <v>25.2241</v>
      </c>
      <c r="F835" s="4">
        <f>CHOOSE( CONTROL!$C$32, 25.8989, 25.8978) * CHOOSE(CONTROL!$C$15, $D$11, 100%, $F$11)</f>
        <v>25.898900000000001</v>
      </c>
      <c r="G835" s="8">
        <f>CHOOSE( CONTROL!$C$32, 24.9397, 24.9386) * CHOOSE( CONTROL!$C$15, $D$11, 100%, $F$11)</f>
        <v>24.939699999999998</v>
      </c>
      <c r="H835" s="4">
        <f>CHOOSE( CONTROL!$C$32, 25.8423, 25.8412) * CHOOSE(CONTROL!$C$15, $D$11, 100%, $F$11)</f>
        <v>25.842300000000002</v>
      </c>
      <c r="I835" s="8">
        <f>CHOOSE( CONTROL!$C$32, 24.6377, 24.6366) * CHOOSE(CONTROL!$C$15, $D$11, 100%, $F$11)</f>
        <v>24.637699999999999</v>
      </c>
      <c r="J835" s="4">
        <f>CHOOSE( CONTROL!$C$32, 24.4805, 24.4794) * CHOOSE(CONTROL!$C$15, $D$11, 100%, $F$11)</f>
        <v>24.480499999999999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66596</v>
      </c>
      <c r="B836" s="8">
        <f>CHOOSE( CONTROL!$C$32, 25.6178, 25.6167) * CHOOSE(CONTROL!$C$15, $D$11, 100%, $F$11)</f>
        <v>25.617799999999999</v>
      </c>
      <c r="C836" s="8">
        <f>CHOOSE( CONTROL!$C$32, 25.6223, 25.6212) * CHOOSE(CONTROL!$C$15, $D$11, 100%, $F$11)</f>
        <v>25.622299999999999</v>
      </c>
      <c r="D836" s="8">
        <f>CHOOSE( CONTROL!$C$32, 25.6251, 25.624) * CHOOSE( CONTROL!$C$15, $D$11, 100%, $F$11)</f>
        <v>25.6251</v>
      </c>
      <c r="E836" s="12">
        <f>CHOOSE( CONTROL!$C$32, 25.6237, 25.6226) * CHOOSE( CONTROL!$C$15, $D$11, 100%, $F$11)</f>
        <v>25.623699999999999</v>
      </c>
      <c r="F836" s="4">
        <f>CHOOSE( CONTROL!$C$32, 26.3261, 26.325) * CHOOSE(CONTROL!$C$15, $D$11, 100%, $F$11)</f>
        <v>26.3261</v>
      </c>
      <c r="G836" s="8">
        <f>CHOOSE( CONTROL!$C$32, 25.329, 25.328) * CHOOSE( CONTROL!$C$15, $D$11, 100%, $F$11)</f>
        <v>25.329000000000001</v>
      </c>
      <c r="H836" s="4">
        <f>CHOOSE( CONTROL!$C$32, 26.2644, 26.2633) * CHOOSE(CONTROL!$C$15, $D$11, 100%, $F$11)</f>
        <v>26.264399999999998</v>
      </c>
      <c r="I836" s="8">
        <f>CHOOSE( CONTROL!$C$32, 24.9822, 24.9811) * CHOOSE(CONTROL!$C$15, $D$11, 100%, $F$11)</f>
        <v>24.982199999999999</v>
      </c>
      <c r="J836" s="4">
        <f>CHOOSE( CONTROL!$C$32, 24.8525, 24.8515) * CHOOSE(CONTROL!$C$15, $D$11, 100%, $F$11)</f>
        <v>24.852499999999999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1.2509999999999999</v>
      </c>
      <c r="Q836" s="9">
        <v>19.053000000000001</v>
      </c>
      <c r="R836" s="9"/>
      <c r="S836" s="11"/>
    </row>
    <row r="837" spans="1:19" ht="15.75">
      <c r="A837" s="13">
        <v>66627</v>
      </c>
      <c r="B837" s="8">
        <f>CHOOSE( CONTROL!$C$32, 26.302, 26.3004) * CHOOSE(CONTROL!$C$15, $D$11, 100%, $F$11)</f>
        <v>26.302</v>
      </c>
      <c r="C837" s="8">
        <f>CHOOSE( CONTROL!$C$32, 26.31, 26.3083) * CHOOSE(CONTROL!$C$15, $D$11, 100%, $F$11)</f>
        <v>26.31</v>
      </c>
      <c r="D837" s="8">
        <f>CHOOSE( CONTROL!$C$32, 26.3067, 26.3051) * CHOOSE( CONTROL!$C$15, $D$11, 100%, $F$11)</f>
        <v>26.306699999999999</v>
      </c>
      <c r="E837" s="12">
        <f>CHOOSE( CONTROL!$C$32, 26.3067, 26.3051) * CHOOSE( CONTROL!$C$15, $D$11, 100%, $F$11)</f>
        <v>26.306699999999999</v>
      </c>
      <c r="F837" s="4">
        <f>CHOOSE( CONTROL!$C$32, 27.009, 27.0073) * CHOOSE(CONTROL!$C$15, $D$11, 100%, $F$11)</f>
        <v>27.009</v>
      </c>
      <c r="G837" s="8">
        <f>CHOOSE( CONTROL!$C$32, 26.0038, 26.0022) * CHOOSE( CONTROL!$C$15, $D$11, 100%, $F$11)</f>
        <v>26.003799999999998</v>
      </c>
      <c r="H837" s="4">
        <f>CHOOSE( CONTROL!$C$32, 26.9393, 26.9377) * CHOOSE(CONTROL!$C$15, $D$11, 100%, $F$11)</f>
        <v>26.939299999999999</v>
      </c>
      <c r="I837" s="8">
        <f>CHOOSE( CONTROL!$C$32, 25.6445, 25.6429) * CHOOSE(CONTROL!$C$15, $D$11, 100%, $F$11)</f>
        <v>25.644500000000001</v>
      </c>
      <c r="J837" s="4">
        <f>CHOOSE( CONTROL!$C$32, 25.5153, 25.5137) * CHOOSE(CONTROL!$C$15, $D$11, 100%, $F$11)</f>
        <v>25.5153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1.2927</v>
      </c>
      <c r="Q837" s="9">
        <v>19.688099999999999</v>
      </c>
      <c r="R837" s="9"/>
      <c r="S837" s="11"/>
    </row>
    <row r="838" spans="1:19" ht="15.75">
      <c r="A838" s="13">
        <v>66657</v>
      </c>
      <c r="B838" s="8">
        <f>CHOOSE( CONTROL!$C$32, 25.8793, 25.8777) * CHOOSE(CONTROL!$C$15, $D$11, 100%, $F$11)</f>
        <v>25.879300000000001</v>
      </c>
      <c r="C838" s="8">
        <f>CHOOSE( CONTROL!$C$32, 25.8873, 25.8857) * CHOOSE(CONTROL!$C$15, $D$11, 100%, $F$11)</f>
        <v>25.8873</v>
      </c>
      <c r="D838" s="8">
        <f>CHOOSE( CONTROL!$C$32, 25.8843, 25.8826) * CHOOSE( CONTROL!$C$15, $D$11, 100%, $F$11)</f>
        <v>25.8843</v>
      </c>
      <c r="E838" s="12">
        <f>CHOOSE( CONTROL!$C$32, 25.8842, 25.8825) * CHOOSE( CONTROL!$C$15, $D$11, 100%, $F$11)</f>
        <v>25.8842</v>
      </c>
      <c r="F838" s="4">
        <f>CHOOSE( CONTROL!$C$32, 26.5863, 26.5846) * CHOOSE(CONTROL!$C$15, $D$11, 100%, $F$11)</f>
        <v>26.586300000000001</v>
      </c>
      <c r="G838" s="8">
        <f>CHOOSE( CONTROL!$C$32, 25.5863, 25.5846) * CHOOSE( CONTROL!$C$15, $D$11, 100%, $F$11)</f>
        <v>25.586300000000001</v>
      </c>
      <c r="H838" s="4">
        <f>CHOOSE( CONTROL!$C$32, 26.5216, 26.5199) * CHOOSE(CONTROL!$C$15, $D$11, 100%, $F$11)</f>
        <v>26.521599999999999</v>
      </c>
      <c r="I838" s="8">
        <f>CHOOSE( CONTROL!$C$32, 25.2349, 25.2333) * CHOOSE(CONTROL!$C$15, $D$11, 100%, $F$11)</f>
        <v>25.2349</v>
      </c>
      <c r="J838" s="4">
        <f>CHOOSE( CONTROL!$C$32, 25.1051, 25.1035) * CHOOSE(CONTROL!$C$15, $D$11, 100%, $F$11)</f>
        <v>25.1051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1.2509999999999999</v>
      </c>
      <c r="Q838" s="9">
        <v>19.053000000000001</v>
      </c>
      <c r="R838" s="9"/>
      <c r="S838" s="11"/>
    </row>
    <row r="839" spans="1:19" ht="15.75">
      <c r="A839" s="13">
        <v>66688</v>
      </c>
      <c r="B839" s="8">
        <f>CHOOSE( CONTROL!$C$32, 26.9924, 26.9907) * CHOOSE(CONTROL!$C$15, $D$11, 100%, $F$11)</f>
        <v>26.9924</v>
      </c>
      <c r="C839" s="8">
        <f>CHOOSE( CONTROL!$C$32, 27.0004, 26.9987) * CHOOSE(CONTROL!$C$15, $D$11, 100%, $F$11)</f>
        <v>27.000399999999999</v>
      </c>
      <c r="D839" s="8">
        <f>CHOOSE( CONTROL!$C$32, 26.9976, 26.9959) * CHOOSE( CONTROL!$C$15, $D$11, 100%, $F$11)</f>
        <v>26.997599999999998</v>
      </c>
      <c r="E839" s="12">
        <f>CHOOSE( CONTROL!$C$32, 26.9974, 26.9957) * CHOOSE( CONTROL!$C$15, $D$11, 100%, $F$11)</f>
        <v>26.997399999999999</v>
      </c>
      <c r="F839" s="4">
        <f>CHOOSE( CONTROL!$C$32, 27.6993, 27.6977) * CHOOSE(CONTROL!$C$15, $D$11, 100%, $F$11)</f>
        <v>27.699300000000001</v>
      </c>
      <c r="G839" s="8">
        <f>CHOOSE( CONTROL!$C$32, 26.6865, 26.6848) * CHOOSE( CONTROL!$C$15, $D$11, 100%, $F$11)</f>
        <v>26.686499999999999</v>
      </c>
      <c r="H839" s="4">
        <f>CHOOSE( CONTROL!$C$32, 27.6216, 27.62) * CHOOSE(CONTROL!$C$15, $D$11, 100%, $F$11)</f>
        <v>27.621600000000001</v>
      </c>
      <c r="I839" s="8">
        <f>CHOOSE( CONTROL!$C$32, 26.3165, 26.3149) * CHOOSE(CONTROL!$C$15, $D$11, 100%, $F$11)</f>
        <v>26.316500000000001</v>
      </c>
      <c r="J839" s="4">
        <f>CHOOSE( CONTROL!$C$32, 26.1853, 26.1837) * CHOOSE(CONTROL!$C$15, $D$11, 100%, $F$11)</f>
        <v>26.185300000000002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1.2927</v>
      </c>
      <c r="Q839" s="9">
        <v>19.688099999999999</v>
      </c>
      <c r="R839" s="9"/>
      <c r="S839" s="11"/>
    </row>
    <row r="840" spans="1:19" ht="15.75">
      <c r="A840" s="13">
        <v>66719</v>
      </c>
      <c r="B840" s="8">
        <f>CHOOSE( CONTROL!$C$32, 24.9098, 24.9081) * CHOOSE(CONTROL!$C$15, $D$11, 100%, $F$11)</f>
        <v>24.909800000000001</v>
      </c>
      <c r="C840" s="8">
        <f>CHOOSE( CONTROL!$C$32, 24.9177, 24.9161) * CHOOSE(CONTROL!$C$15, $D$11, 100%, $F$11)</f>
        <v>24.9177</v>
      </c>
      <c r="D840" s="8">
        <f>CHOOSE( CONTROL!$C$32, 24.915, 24.9134) * CHOOSE( CONTROL!$C$15, $D$11, 100%, $F$11)</f>
        <v>24.914999999999999</v>
      </c>
      <c r="E840" s="12">
        <f>CHOOSE( CONTROL!$C$32, 24.9148, 24.9132) * CHOOSE( CONTROL!$C$15, $D$11, 100%, $F$11)</f>
        <v>24.9148</v>
      </c>
      <c r="F840" s="4">
        <f>CHOOSE( CONTROL!$C$32, 25.6167, 25.615) * CHOOSE(CONTROL!$C$15, $D$11, 100%, $F$11)</f>
        <v>25.616700000000002</v>
      </c>
      <c r="G840" s="8">
        <f>CHOOSE( CONTROL!$C$32, 24.6283, 24.6267) * CHOOSE( CONTROL!$C$15, $D$11, 100%, $F$11)</f>
        <v>24.628299999999999</v>
      </c>
      <c r="H840" s="4">
        <f>CHOOSE( CONTROL!$C$32, 25.5634, 25.5617) * CHOOSE(CONTROL!$C$15, $D$11, 100%, $F$11)</f>
        <v>25.563400000000001</v>
      </c>
      <c r="I840" s="8">
        <f>CHOOSE( CONTROL!$C$32, 24.2946, 24.293) * CHOOSE(CONTROL!$C$15, $D$11, 100%, $F$11)</f>
        <v>24.294599999999999</v>
      </c>
      <c r="J840" s="4">
        <f>CHOOSE( CONTROL!$C$32, 24.1641, 24.1625) * CHOOSE(CONTROL!$C$15, $D$11, 100%, $F$11)</f>
        <v>24.164100000000001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1.2927</v>
      </c>
      <c r="Q840" s="9">
        <v>19.688099999999999</v>
      </c>
      <c r="R840" s="9"/>
      <c r="S840" s="11"/>
    </row>
    <row r="841" spans="1:19" ht="15.75">
      <c r="A841" s="13">
        <v>66749</v>
      </c>
      <c r="B841" s="8">
        <f>CHOOSE( CONTROL!$C$32, 24.3882, 24.3866) * CHOOSE(CONTROL!$C$15, $D$11, 100%, $F$11)</f>
        <v>24.388200000000001</v>
      </c>
      <c r="C841" s="8">
        <f>CHOOSE( CONTROL!$C$32, 24.3962, 24.3946) * CHOOSE(CONTROL!$C$15, $D$11, 100%, $F$11)</f>
        <v>24.3962</v>
      </c>
      <c r="D841" s="8">
        <f>CHOOSE( CONTROL!$C$32, 24.3935, 24.3918) * CHOOSE( CONTROL!$C$15, $D$11, 100%, $F$11)</f>
        <v>24.3935</v>
      </c>
      <c r="E841" s="12">
        <f>CHOOSE( CONTROL!$C$32, 24.3933, 24.3916) * CHOOSE( CONTROL!$C$15, $D$11, 100%, $F$11)</f>
        <v>24.3933</v>
      </c>
      <c r="F841" s="4">
        <f>CHOOSE( CONTROL!$C$32, 25.0952, 25.0935) * CHOOSE(CONTROL!$C$15, $D$11, 100%, $F$11)</f>
        <v>25.095199999999998</v>
      </c>
      <c r="G841" s="8">
        <f>CHOOSE( CONTROL!$C$32, 24.1129, 24.1112) * CHOOSE( CONTROL!$C$15, $D$11, 100%, $F$11)</f>
        <v>24.1129</v>
      </c>
      <c r="H841" s="4">
        <f>CHOOSE( CONTROL!$C$32, 25.0479, 25.0463) * CHOOSE(CONTROL!$C$15, $D$11, 100%, $F$11)</f>
        <v>25.047899999999998</v>
      </c>
      <c r="I841" s="8">
        <f>CHOOSE( CONTROL!$C$32, 23.7881, 23.7865) * CHOOSE(CONTROL!$C$15, $D$11, 100%, $F$11)</f>
        <v>23.7881</v>
      </c>
      <c r="J841" s="4">
        <f>CHOOSE( CONTROL!$C$32, 23.658, 23.6564) * CHOOSE(CONTROL!$C$15, $D$11, 100%, $F$11)</f>
        <v>23.658000000000001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1.2509999999999999</v>
      </c>
      <c r="Q841" s="9">
        <v>19.053000000000001</v>
      </c>
      <c r="R841" s="9"/>
      <c r="S841" s="11"/>
    </row>
    <row r="842" spans="1:19" ht="15.75">
      <c r="A842" s="13">
        <v>66780</v>
      </c>
      <c r="B842" s="8">
        <f>CHOOSE( CONTROL!$C$32, 25.4688, 25.4677) * CHOOSE(CONTROL!$C$15, $D$11, 100%, $F$11)</f>
        <v>25.468800000000002</v>
      </c>
      <c r="C842" s="8">
        <f>CHOOSE( CONTROL!$C$32, 25.4741, 25.473) * CHOOSE(CONTROL!$C$15, $D$11, 100%, $F$11)</f>
        <v>25.4741</v>
      </c>
      <c r="D842" s="8">
        <f>CHOOSE( CONTROL!$C$32, 25.477, 25.4759) * CHOOSE( CONTROL!$C$15, $D$11, 100%, $F$11)</f>
        <v>25.477</v>
      </c>
      <c r="E842" s="12">
        <f>CHOOSE( CONTROL!$C$32, 25.4755, 25.4744) * CHOOSE( CONTROL!$C$15, $D$11, 100%, $F$11)</f>
        <v>25.4755</v>
      </c>
      <c r="F842" s="4">
        <f>CHOOSE( CONTROL!$C$32, 26.1775, 26.1764) * CHOOSE(CONTROL!$C$15, $D$11, 100%, $F$11)</f>
        <v>26.177499999999998</v>
      </c>
      <c r="G842" s="8">
        <f>CHOOSE( CONTROL!$C$32, 25.1826, 25.1815) * CHOOSE( CONTROL!$C$15, $D$11, 100%, $F$11)</f>
        <v>25.182600000000001</v>
      </c>
      <c r="H842" s="4">
        <f>CHOOSE( CONTROL!$C$32, 26.1175, 26.1165) * CHOOSE(CONTROL!$C$15, $D$11, 100%, $F$11)</f>
        <v>26.1175</v>
      </c>
      <c r="I842" s="8">
        <f>CHOOSE( CONTROL!$C$32, 24.8397, 24.8387) * CHOOSE(CONTROL!$C$15, $D$11, 100%, $F$11)</f>
        <v>24.839700000000001</v>
      </c>
      <c r="J842" s="4">
        <f>CHOOSE( CONTROL!$C$32, 24.7083, 24.7073) * CHOOSE(CONTROL!$C$15, $D$11, 100%, $F$11)</f>
        <v>24.708300000000001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1.2927</v>
      </c>
      <c r="Q842" s="9">
        <v>19.688099999999999</v>
      </c>
      <c r="R842" s="9"/>
      <c r="S842" s="11"/>
    </row>
    <row r="843" spans="1:19" ht="15.75">
      <c r="A843" s="13">
        <v>66810</v>
      </c>
      <c r="B843" s="8">
        <f>CHOOSE( CONTROL!$C$32, 27.4671, 27.466) * CHOOSE(CONTROL!$C$15, $D$11, 100%, $F$11)</f>
        <v>27.467099999999999</v>
      </c>
      <c r="C843" s="8">
        <f>CHOOSE( CONTROL!$C$32, 27.4722, 27.4711) * CHOOSE(CONTROL!$C$15, $D$11, 100%, $F$11)</f>
        <v>27.472200000000001</v>
      </c>
      <c r="D843" s="8">
        <f>CHOOSE( CONTROL!$C$32, 27.4543, 27.4533) * CHOOSE( CONTROL!$C$15, $D$11, 100%, $F$11)</f>
        <v>27.4543</v>
      </c>
      <c r="E843" s="12">
        <f>CHOOSE( CONTROL!$C$32, 27.4603, 27.4593) * CHOOSE( CONTROL!$C$15, $D$11, 100%, $F$11)</f>
        <v>27.4603</v>
      </c>
      <c r="F843" s="4">
        <f>CHOOSE( CONTROL!$C$32, 28.1324, 28.1313) * CHOOSE(CONTROL!$C$15, $D$11, 100%, $F$11)</f>
        <v>28.132400000000001</v>
      </c>
      <c r="G843" s="8">
        <f>CHOOSE( CONTROL!$C$32, 27.157, 27.1559) * CHOOSE( CONTROL!$C$15, $D$11, 100%, $F$11)</f>
        <v>27.157</v>
      </c>
      <c r="H843" s="4">
        <f>CHOOSE( CONTROL!$C$32, 28.0496, 28.0485) * CHOOSE(CONTROL!$C$15, $D$11, 100%, $F$11)</f>
        <v>28.049600000000002</v>
      </c>
      <c r="I843" s="8">
        <f>CHOOSE( CONTROL!$C$32, 26.8422, 26.8412) * CHOOSE(CONTROL!$C$15, $D$11, 100%, $F$11)</f>
        <v>26.842199999999998</v>
      </c>
      <c r="J843" s="4">
        <f>CHOOSE( CONTROL!$C$32, 26.6481, 26.647) * CHOOSE(CONTROL!$C$15, $D$11, 100%, $F$11)</f>
        <v>26.648099999999999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66841</v>
      </c>
      <c r="B844" s="8">
        <f>CHOOSE( CONTROL!$C$32, 27.4172, 27.4161) * CHOOSE(CONTROL!$C$15, $D$11, 100%, $F$11)</f>
        <v>27.417200000000001</v>
      </c>
      <c r="C844" s="8">
        <f>CHOOSE( CONTROL!$C$32, 27.4222, 27.4211) * CHOOSE(CONTROL!$C$15, $D$11, 100%, $F$11)</f>
        <v>27.4222</v>
      </c>
      <c r="D844" s="8">
        <f>CHOOSE( CONTROL!$C$32, 27.4058, 27.4048) * CHOOSE( CONTROL!$C$15, $D$11, 100%, $F$11)</f>
        <v>27.405799999999999</v>
      </c>
      <c r="E844" s="12">
        <f>CHOOSE( CONTROL!$C$32, 27.4113, 27.4102) * CHOOSE( CONTROL!$C$15, $D$11, 100%, $F$11)</f>
        <v>27.411300000000001</v>
      </c>
      <c r="F844" s="4">
        <f>CHOOSE( CONTROL!$C$32, 28.0824, 28.0814) * CHOOSE(CONTROL!$C$15, $D$11, 100%, $F$11)</f>
        <v>28.0824</v>
      </c>
      <c r="G844" s="8">
        <f>CHOOSE( CONTROL!$C$32, 27.1087, 27.1076) * CHOOSE( CONTROL!$C$15, $D$11, 100%, $F$11)</f>
        <v>27.108699999999999</v>
      </c>
      <c r="H844" s="4">
        <f>CHOOSE( CONTROL!$C$32, 28.0002, 27.9991) * CHOOSE(CONTROL!$C$15, $D$11, 100%, $F$11)</f>
        <v>28.0002</v>
      </c>
      <c r="I844" s="8">
        <f>CHOOSE( CONTROL!$C$32, 26.7982, 26.7971) * CHOOSE(CONTROL!$C$15, $D$11, 100%, $F$11)</f>
        <v>26.798200000000001</v>
      </c>
      <c r="J844" s="4">
        <f>CHOOSE( CONTROL!$C$32, 26.5996, 26.5985) * CHOOSE(CONTROL!$C$15, $D$11, 100%, $F$11)</f>
        <v>26.599599999999999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66872</v>
      </c>
      <c r="B845" s="8">
        <f>CHOOSE( CONTROL!$C$32, 28.2256, 28.2245) * CHOOSE(CONTROL!$C$15, $D$11, 100%, $F$11)</f>
        <v>28.2256</v>
      </c>
      <c r="C845" s="8">
        <f>CHOOSE( CONTROL!$C$32, 28.2307, 28.2296) * CHOOSE(CONTROL!$C$15, $D$11, 100%, $F$11)</f>
        <v>28.230699999999999</v>
      </c>
      <c r="D845" s="8">
        <f>CHOOSE( CONTROL!$C$32, 28.2094, 28.2083) * CHOOSE( CONTROL!$C$15, $D$11, 100%, $F$11)</f>
        <v>28.209399999999999</v>
      </c>
      <c r="E845" s="12">
        <f>CHOOSE( CONTROL!$C$32, 28.2166, 28.2155) * CHOOSE( CONTROL!$C$15, $D$11, 100%, $F$11)</f>
        <v>28.2166</v>
      </c>
      <c r="F845" s="4">
        <f>CHOOSE( CONTROL!$C$32, 28.8909, 28.8898) * CHOOSE(CONTROL!$C$15, $D$11, 100%, $F$11)</f>
        <v>28.890899999999998</v>
      </c>
      <c r="G845" s="8">
        <f>CHOOSE( CONTROL!$C$32, 27.8972, 27.8961) * CHOOSE( CONTROL!$C$15, $D$11, 100%, $F$11)</f>
        <v>27.897200000000002</v>
      </c>
      <c r="H845" s="4">
        <f>CHOOSE( CONTROL!$C$32, 28.7992, 28.7981) * CHOOSE(CONTROL!$C$15, $D$11, 100%, $F$11)</f>
        <v>28.799199999999999</v>
      </c>
      <c r="I845" s="8">
        <f>CHOOSE( CONTROL!$C$32, 27.5452, 27.5441) * CHOOSE(CONTROL!$C$15, $D$11, 100%, $F$11)</f>
        <v>27.545200000000001</v>
      </c>
      <c r="J845" s="4">
        <f>CHOOSE( CONTROL!$C$32, 27.3842, 27.3831) * CHOOSE(CONTROL!$C$15, $D$11, 100%, $F$11)</f>
        <v>27.3842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66900</v>
      </c>
      <c r="B846" s="8">
        <f>CHOOSE( CONTROL!$C$32, 26.4015, 26.4004) * CHOOSE(CONTROL!$C$15, $D$11, 100%, $F$11)</f>
        <v>26.401499999999999</v>
      </c>
      <c r="C846" s="8">
        <f>CHOOSE( CONTROL!$C$32, 26.4066, 26.4055) * CHOOSE(CONTROL!$C$15, $D$11, 100%, $F$11)</f>
        <v>26.406600000000001</v>
      </c>
      <c r="D846" s="8">
        <f>CHOOSE( CONTROL!$C$32, 26.3852, 26.3841) * CHOOSE( CONTROL!$C$15, $D$11, 100%, $F$11)</f>
        <v>26.385200000000001</v>
      </c>
      <c r="E846" s="12">
        <f>CHOOSE( CONTROL!$C$32, 26.3925, 26.3914) * CHOOSE( CONTROL!$C$15, $D$11, 100%, $F$11)</f>
        <v>26.392499999999998</v>
      </c>
      <c r="F846" s="4">
        <f>CHOOSE( CONTROL!$C$32, 27.0668, 27.0657) * CHOOSE(CONTROL!$C$15, $D$11, 100%, $F$11)</f>
        <v>27.066800000000001</v>
      </c>
      <c r="G846" s="8">
        <f>CHOOSE( CONTROL!$C$32, 26.0943, 26.0933) * CHOOSE( CONTROL!$C$15, $D$11, 100%, $F$11)</f>
        <v>26.0943</v>
      </c>
      <c r="H846" s="4">
        <f>CHOOSE( CONTROL!$C$32, 26.9964, 26.9954) * CHOOSE(CONTROL!$C$15, $D$11, 100%, $F$11)</f>
        <v>26.996400000000001</v>
      </c>
      <c r="I846" s="8">
        <f>CHOOSE( CONTROL!$C$32, 25.7736, 25.7726) * CHOOSE(CONTROL!$C$15, $D$11, 100%, $F$11)</f>
        <v>25.773599999999998</v>
      </c>
      <c r="J846" s="4">
        <f>CHOOSE( CONTROL!$C$32, 25.6139, 25.6128) * CHOOSE(CONTROL!$C$15, $D$11, 100%, $F$11)</f>
        <v>25.613900000000001</v>
      </c>
      <c r="K846" s="4"/>
      <c r="L846" s="9">
        <v>26.469899999999999</v>
      </c>
      <c r="M846" s="9">
        <v>10.8962</v>
      </c>
      <c r="N846" s="9">
        <v>4.4660000000000002</v>
      </c>
      <c r="O846" s="9">
        <v>0.33789999999999998</v>
      </c>
      <c r="P846" s="9">
        <v>1.1676</v>
      </c>
      <c r="Q846" s="9">
        <v>17.782800000000002</v>
      </c>
      <c r="R846" s="9"/>
      <c r="S846" s="11"/>
    </row>
    <row r="847" spans="1:19" ht="15.75">
      <c r="A847" s="13">
        <v>66931</v>
      </c>
      <c r="B847" s="8">
        <f>CHOOSE( CONTROL!$C$32, 25.8397, 25.8386) * CHOOSE(CONTROL!$C$15, $D$11, 100%, $F$11)</f>
        <v>25.839700000000001</v>
      </c>
      <c r="C847" s="8">
        <f>CHOOSE( CONTROL!$C$32, 25.8448, 25.8437) * CHOOSE(CONTROL!$C$15, $D$11, 100%, $F$11)</f>
        <v>25.844799999999999</v>
      </c>
      <c r="D847" s="8">
        <f>CHOOSE( CONTROL!$C$32, 25.8227, 25.8216) * CHOOSE( CONTROL!$C$15, $D$11, 100%, $F$11)</f>
        <v>25.822700000000001</v>
      </c>
      <c r="E847" s="12">
        <f>CHOOSE( CONTROL!$C$32, 25.8302, 25.8291) * CHOOSE( CONTROL!$C$15, $D$11, 100%, $F$11)</f>
        <v>25.830200000000001</v>
      </c>
      <c r="F847" s="4">
        <f>CHOOSE( CONTROL!$C$32, 26.505, 26.5039) * CHOOSE(CONTROL!$C$15, $D$11, 100%, $F$11)</f>
        <v>26.504999999999999</v>
      </c>
      <c r="G847" s="8">
        <f>CHOOSE( CONTROL!$C$32, 25.5386, 25.5376) * CHOOSE( CONTROL!$C$15, $D$11, 100%, $F$11)</f>
        <v>25.538599999999999</v>
      </c>
      <c r="H847" s="4">
        <f>CHOOSE( CONTROL!$C$32, 26.4412, 26.4401) * CHOOSE(CONTROL!$C$15, $D$11, 100%, $F$11)</f>
        <v>26.441199999999998</v>
      </c>
      <c r="I847" s="8">
        <f>CHOOSE( CONTROL!$C$32, 25.2261, 25.2251) * CHOOSE(CONTROL!$C$15, $D$11, 100%, $F$11)</f>
        <v>25.226099999999999</v>
      </c>
      <c r="J847" s="4">
        <f>CHOOSE( CONTROL!$C$32, 25.0687, 25.0676) * CHOOSE(CONTROL!$C$15, $D$11, 100%, $F$11)</f>
        <v>25.0687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66961</v>
      </c>
      <c r="B848" s="8">
        <f>CHOOSE( CONTROL!$C$32, 26.233, 26.2319) * CHOOSE(CONTROL!$C$15, $D$11, 100%, $F$11)</f>
        <v>26.233000000000001</v>
      </c>
      <c r="C848" s="8">
        <f>CHOOSE( CONTROL!$C$32, 26.2375, 26.2365) * CHOOSE(CONTROL!$C$15, $D$11, 100%, $F$11)</f>
        <v>26.237500000000001</v>
      </c>
      <c r="D848" s="8">
        <f>CHOOSE( CONTROL!$C$32, 26.2404, 26.2393) * CHOOSE( CONTROL!$C$15, $D$11, 100%, $F$11)</f>
        <v>26.240400000000001</v>
      </c>
      <c r="E848" s="12">
        <f>CHOOSE( CONTROL!$C$32, 26.2389, 26.2379) * CHOOSE( CONTROL!$C$15, $D$11, 100%, $F$11)</f>
        <v>26.238900000000001</v>
      </c>
      <c r="F848" s="4">
        <f>CHOOSE( CONTROL!$C$32, 26.9413, 26.9403) * CHOOSE(CONTROL!$C$15, $D$11, 100%, $F$11)</f>
        <v>26.941299999999998</v>
      </c>
      <c r="G848" s="8">
        <f>CHOOSE( CONTROL!$C$32, 25.9371, 25.936) * CHOOSE( CONTROL!$C$15, $D$11, 100%, $F$11)</f>
        <v>25.937100000000001</v>
      </c>
      <c r="H848" s="4">
        <f>CHOOSE( CONTROL!$C$32, 26.8725, 26.8714) * CHOOSE(CONTROL!$C$15, $D$11, 100%, $F$11)</f>
        <v>26.872499999999999</v>
      </c>
      <c r="I848" s="8">
        <f>CHOOSE( CONTROL!$C$32, 25.5796, 25.5785) * CHOOSE(CONTROL!$C$15, $D$11, 100%, $F$11)</f>
        <v>25.579599999999999</v>
      </c>
      <c r="J848" s="4">
        <f>CHOOSE( CONTROL!$C$32, 25.4497, 25.4486) * CHOOSE(CONTROL!$C$15, $D$11, 100%, $F$11)</f>
        <v>25.4497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1.2509999999999999</v>
      </c>
      <c r="Q848" s="9">
        <v>19.053000000000001</v>
      </c>
      <c r="R848" s="9"/>
      <c r="S848" s="11"/>
    </row>
    <row r="849" spans="1:19" ht="15.75">
      <c r="A849" s="13">
        <v>66992</v>
      </c>
      <c r="B849" s="8">
        <f>CHOOSE( CONTROL!$C$32, 26.9337, 26.932) * CHOOSE(CONTROL!$C$15, $D$11, 100%, $F$11)</f>
        <v>26.933700000000002</v>
      </c>
      <c r="C849" s="8">
        <f>CHOOSE( CONTROL!$C$32, 26.9416, 26.94) * CHOOSE(CONTROL!$C$15, $D$11, 100%, $F$11)</f>
        <v>26.941600000000001</v>
      </c>
      <c r="D849" s="8">
        <f>CHOOSE( CONTROL!$C$32, 26.9384, 26.9367) * CHOOSE( CONTROL!$C$15, $D$11, 100%, $F$11)</f>
        <v>26.938400000000001</v>
      </c>
      <c r="E849" s="12">
        <f>CHOOSE( CONTROL!$C$32, 26.9384, 26.9367) * CHOOSE( CONTROL!$C$15, $D$11, 100%, $F$11)</f>
        <v>26.938400000000001</v>
      </c>
      <c r="F849" s="4">
        <f>CHOOSE( CONTROL!$C$32, 27.6406, 27.639) * CHOOSE(CONTROL!$C$15, $D$11, 100%, $F$11)</f>
        <v>27.640599999999999</v>
      </c>
      <c r="G849" s="8">
        <f>CHOOSE( CONTROL!$C$32, 26.6281, 26.6264) * CHOOSE( CONTROL!$C$15, $D$11, 100%, $F$11)</f>
        <v>26.6281</v>
      </c>
      <c r="H849" s="4">
        <f>CHOOSE( CONTROL!$C$32, 27.5636, 27.5619) * CHOOSE(CONTROL!$C$15, $D$11, 100%, $F$11)</f>
        <v>27.563600000000001</v>
      </c>
      <c r="I849" s="8">
        <f>CHOOSE( CONTROL!$C$32, 26.2579, 26.2562) * CHOOSE(CONTROL!$C$15, $D$11, 100%, $F$11)</f>
        <v>26.257899999999999</v>
      </c>
      <c r="J849" s="4">
        <f>CHOOSE( CONTROL!$C$32, 26.1283, 26.1267) * CHOOSE(CONTROL!$C$15, $D$11, 100%, $F$11)</f>
        <v>26.128299999999999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1.2927</v>
      </c>
      <c r="Q849" s="9">
        <v>19.688099999999999</v>
      </c>
      <c r="R849" s="9"/>
      <c r="S849" s="11"/>
    </row>
    <row r="850" spans="1:19" ht="15.75">
      <c r="A850" s="13">
        <v>67022</v>
      </c>
      <c r="B850" s="8">
        <f>CHOOSE( CONTROL!$C$32, 26.5008, 26.4992) * CHOOSE(CONTROL!$C$15, $D$11, 100%, $F$11)</f>
        <v>26.500800000000002</v>
      </c>
      <c r="C850" s="8">
        <f>CHOOSE( CONTROL!$C$32, 26.5088, 26.5072) * CHOOSE(CONTROL!$C$15, $D$11, 100%, $F$11)</f>
        <v>26.508800000000001</v>
      </c>
      <c r="D850" s="8">
        <f>CHOOSE( CONTROL!$C$32, 26.5058, 26.5041) * CHOOSE( CONTROL!$C$15, $D$11, 100%, $F$11)</f>
        <v>26.505800000000001</v>
      </c>
      <c r="E850" s="12">
        <f>CHOOSE( CONTROL!$C$32, 26.5057, 26.504) * CHOOSE( CONTROL!$C$15, $D$11, 100%, $F$11)</f>
        <v>26.505700000000001</v>
      </c>
      <c r="F850" s="4">
        <f>CHOOSE( CONTROL!$C$32, 27.2078, 27.2061) * CHOOSE(CONTROL!$C$15, $D$11, 100%, $F$11)</f>
        <v>27.207799999999999</v>
      </c>
      <c r="G850" s="8">
        <f>CHOOSE( CONTROL!$C$32, 26.2005, 26.1988) * CHOOSE( CONTROL!$C$15, $D$11, 100%, $F$11)</f>
        <v>26.200500000000002</v>
      </c>
      <c r="H850" s="4">
        <f>CHOOSE( CONTROL!$C$32, 27.1358, 27.1342) * CHOOSE(CONTROL!$C$15, $D$11, 100%, $F$11)</f>
        <v>27.1358</v>
      </c>
      <c r="I850" s="8">
        <f>CHOOSE( CONTROL!$C$32, 25.8384, 25.8368) * CHOOSE(CONTROL!$C$15, $D$11, 100%, $F$11)</f>
        <v>25.8384</v>
      </c>
      <c r="J850" s="4">
        <f>CHOOSE( CONTROL!$C$32, 25.7083, 25.7066) * CHOOSE(CONTROL!$C$15, $D$11, 100%, $F$11)</f>
        <v>25.708300000000001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1.2509999999999999</v>
      </c>
      <c r="Q850" s="9">
        <v>19.053000000000001</v>
      </c>
      <c r="R850" s="9"/>
      <c r="S850" s="11"/>
    </row>
    <row r="851" spans="1:19" ht="15.75">
      <c r="A851" s="13">
        <v>67053</v>
      </c>
      <c r="B851" s="8">
        <f>CHOOSE( CONTROL!$C$32, 27.6406, 27.639) * CHOOSE(CONTROL!$C$15, $D$11, 100%, $F$11)</f>
        <v>27.640599999999999</v>
      </c>
      <c r="C851" s="8">
        <f>CHOOSE( CONTROL!$C$32, 27.6486, 27.647) * CHOOSE(CONTROL!$C$15, $D$11, 100%, $F$11)</f>
        <v>27.648599999999998</v>
      </c>
      <c r="D851" s="8">
        <f>CHOOSE( CONTROL!$C$32, 27.6458, 27.6442) * CHOOSE( CONTROL!$C$15, $D$11, 100%, $F$11)</f>
        <v>27.645800000000001</v>
      </c>
      <c r="E851" s="12">
        <f>CHOOSE( CONTROL!$C$32, 27.6456, 27.644) * CHOOSE( CONTROL!$C$15, $D$11, 100%, $F$11)</f>
        <v>27.645600000000002</v>
      </c>
      <c r="F851" s="4">
        <f>CHOOSE( CONTROL!$C$32, 28.3476, 28.3459) * CHOOSE(CONTROL!$C$15, $D$11, 100%, $F$11)</f>
        <v>28.3476</v>
      </c>
      <c r="G851" s="8">
        <f>CHOOSE( CONTROL!$C$32, 27.3271, 27.3255) * CHOOSE( CONTROL!$C$15, $D$11, 100%, $F$11)</f>
        <v>27.327100000000002</v>
      </c>
      <c r="H851" s="4">
        <f>CHOOSE( CONTROL!$C$32, 28.2622, 28.2606) * CHOOSE(CONTROL!$C$15, $D$11, 100%, $F$11)</f>
        <v>28.2622</v>
      </c>
      <c r="I851" s="8">
        <f>CHOOSE( CONTROL!$C$32, 26.9459, 26.9443) * CHOOSE(CONTROL!$C$15, $D$11, 100%, $F$11)</f>
        <v>26.945900000000002</v>
      </c>
      <c r="J851" s="4">
        <f>CHOOSE( CONTROL!$C$32, 26.8144, 26.8128) * CHOOSE(CONTROL!$C$15, $D$11, 100%, $F$11)</f>
        <v>26.814399999999999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1.2927</v>
      </c>
      <c r="Q851" s="9">
        <v>19.688099999999999</v>
      </c>
      <c r="R851" s="9"/>
      <c r="S851" s="11"/>
    </row>
    <row r="852" spans="1:19" ht="15.75">
      <c r="A852" s="13">
        <v>67084</v>
      </c>
      <c r="B852" s="8">
        <f>CHOOSE( CONTROL!$C$32, 25.508, 25.5063) * CHOOSE(CONTROL!$C$15, $D$11, 100%, $F$11)</f>
        <v>25.507999999999999</v>
      </c>
      <c r="C852" s="8">
        <f>CHOOSE( CONTROL!$C$32, 25.5159, 25.5143) * CHOOSE(CONTROL!$C$15, $D$11, 100%, $F$11)</f>
        <v>25.515899999999998</v>
      </c>
      <c r="D852" s="8">
        <f>CHOOSE( CONTROL!$C$32, 25.5133, 25.5116) * CHOOSE( CONTROL!$C$15, $D$11, 100%, $F$11)</f>
        <v>25.513300000000001</v>
      </c>
      <c r="E852" s="12">
        <f>CHOOSE( CONTROL!$C$32, 25.513, 25.5114) * CHOOSE( CONTROL!$C$15, $D$11, 100%, $F$11)</f>
        <v>25.513000000000002</v>
      </c>
      <c r="F852" s="4">
        <f>CHOOSE( CONTROL!$C$32, 26.2149, 26.2133) * CHOOSE(CONTROL!$C$15, $D$11, 100%, $F$11)</f>
        <v>26.2149</v>
      </c>
      <c r="G852" s="8">
        <f>CHOOSE( CONTROL!$C$32, 25.2195, 25.2179) * CHOOSE( CONTROL!$C$15, $D$11, 100%, $F$11)</f>
        <v>25.2195</v>
      </c>
      <c r="H852" s="4">
        <f>CHOOSE( CONTROL!$C$32, 26.1546, 26.1529) * CHOOSE(CONTROL!$C$15, $D$11, 100%, $F$11)</f>
        <v>26.154599999999999</v>
      </c>
      <c r="I852" s="8">
        <f>CHOOSE( CONTROL!$C$32, 24.8755, 24.8739) * CHOOSE(CONTROL!$C$15, $D$11, 100%, $F$11)</f>
        <v>24.875499999999999</v>
      </c>
      <c r="J852" s="4">
        <f>CHOOSE( CONTROL!$C$32, 24.7447, 24.7431) * CHOOSE(CONTROL!$C$15, $D$11, 100%, $F$11)</f>
        <v>24.744700000000002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1.2927</v>
      </c>
      <c r="Q852" s="9">
        <v>19.688099999999999</v>
      </c>
      <c r="R852" s="9"/>
      <c r="S852" s="11"/>
    </row>
    <row r="853" spans="1:19" ht="15.75">
      <c r="A853" s="13">
        <v>67114</v>
      </c>
      <c r="B853" s="8">
        <f>CHOOSE( CONTROL!$C$32, 24.9739, 24.9723) * CHOOSE(CONTROL!$C$15, $D$11, 100%, $F$11)</f>
        <v>24.9739</v>
      </c>
      <c r="C853" s="8">
        <f>CHOOSE( CONTROL!$C$32, 24.9819, 24.9802) * CHOOSE(CONTROL!$C$15, $D$11, 100%, $F$11)</f>
        <v>24.9819</v>
      </c>
      <c r="D853" s="8">
        <f>CHOOSE( CONTROL!$C$32, 24.9792, 24.9775) * CHOOSE( CONTROL!$C$15, $D$11, 100%, $F$11)</f>
        <v>24.979199999999999</v>
      </c>
      <c r="E853" s="12">
        <f>CHOOSE( CONTROL!$C$32, 24.979, 24.9773) * CHOOSE( CONTROL!$C$15, $D$11, 100%, $F$11)</f>
        <v>24.978999999999999</v>
      </c>
      <c r="F853" s="4">
        <f>CHOOSE( CONTROL!$C$32, 25.6809, 25.6792) * CHOOSE(CONTROL!$C$15, $D$11, 100%, $F$11)</f>
        <v>25.680900000000001</v>
      </c>
      <c r="G853" s="8">
        <f>CHOOSE( CONTROL!$C$32, 24.6917, 24.69) * CHOOSE( CONTROL!$C$15, $D$11, 100%, $F$11)</f>
        <v>24.691700000000001</v>
      </c>
      <c r="H853" s="4">
        <f>CHOOSE( CONTROL!$C$32, 25.6268, 25.6251) * CHOOSE(CONTROL!$C$15, $D$11, 100%, $F$11)</f>
        <v>25.626799999999999</v>
      </c>
      <c r="I853" s="8">
        <f>CHOOSE( CONTROL!$C$32, 24.3568, 24.3551) * CHOOSE(CONTROL!$C$15, $D$11, 100%, $F$11)</f>
        <v>24.3568</v>
      </c>
      <c r="J853" s="4">
        <f>CHOOSE( CONTROL!$C$32, 24.2264, 24.2248) * CHOOSE(CONTROL!$C$15, $D$11, 100%, $F$11)</f>
        <v>24.226400000000002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1.2509999999999999</v>
      </c>
      <c r="Q853" s="9">
        <v>19.053000000000001</v>
      </c>
      <c r="R853" s="9"/>
      <c r="S853" s="11"/>
    </row>
    <row r="854" spans="1:19" ht="15.75">
      <c r="A854" s="13">
        <v>67145</v>
      </c>
      <c r="B854" s="8">
        <f>CHOOSE( CONTROL!$C$32, 26.0805, 26.0794) * CHOOSE(CONTROL!$C$15, $D$11, 100%, $F$11)</f>
        <v>26.080500000000001</v>
      </c>
      <c r="C854" s="8">
        <f>CHOOSE( CONTROL!$C$32, 26.0858, 26.0847) * CHOOSE(CONTROL!$C$15, $D$11, 100%, $F$11)</f>
        <v>26.085799999999999</v>
      </c>
      <c r="D854" s="8">
        <f>CHOOSE( CONTROL!$C$32, 26.0887, 26.0876) * CHOOSE( CONTROL!$C$15, $D$11, 100%, $F$11)</f>
        <v>26.088699999999999</v>
      </c>
      <c r="E854" s="12">
        <f>CHOOSE( CONTROL!$C$32, 26.0872, 26.0861) * CHOOSE( CONTROL!$C$15, $D$11, 100%, $F$11)</f>
        <v>26.087199999999999</v>
      </c>
      <c r="F854" s="4">
        <f>CHOOSE( CONTROL!$C$32, 26.7892, 26.7881) * CHOOSE(CONTROL!$C$15, $D$11, 100%, $F$11)</f>
        <v>26.789200000000001</v>
      </c>
      <c r="G854" s="8">
        <f>CHOOSE( CONTROL!$C$32, 25.7871, 25.7861) * CHOOSE( CONTROL!$C$15, $D$11, 100%, $F$11)</f>
        <v>25.787099999999999</v>
      </c>
      <c r="H854" s="4">
        <f>CHOOSE( CONTROL!$C$32, 26.7221, 26.721) * CHOOSE(CONTROL!$C$15, $D$11, 100%, $F$11)</f>
        <v>26.722100000000001</v>
      </c>
      <c r="I854" s="8">
        <f>CHOOSE( CONTROL!$C$32, 25.4337, 25.4326) * CHOOSE(CONTROL!$C$15, $D$11, 100%, $F$11)</f>
        <v>25.433700000000002</v>
      </c>
      <c r="J854" s="4">
        <f>CHOOSE( CONTROL!$C$32, 25.302, 25.3009) * CHOOSE(CONTROL!$C$15, $D$11, 100%, $F$11)</f>
        <v>25.302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1.2927</v>
      </c>
      <c r="Q854" s="9">
        <v>19.688099999999999</v>
      </c>
      <c r="R854" s="9"/>
      <c r="S854" s="11"/>
    </row>
    <row r="855" spans="1:19" ht="15.75">
      <c r="A855" s="13">
        <v>67175</v>
      </c>
      <c r="B855" s="8">
        <f>CHOOSE( CONTROL!$C$32, 28.1268, 28.1257) * CHOOSE(CONTROL!$C$15, $D$11, 100%, $F$11)</f>
        <v>28.126799999999999</v>
      </c>
      <c r="C855" s="8">
        <f>CHOOSE( CONTROL!$C$32, 28.1319, 28.1308) * CHOOSE(CONTROL!$C$15, $D$11, 100%, $F$11)</f>
        <v>28.131900000000002</v>
      </c>
      <c r="D855" s="8">
        <f>CHOOSE( CONTROL!$C$32, 28.1141, 28.113) * CHOOSE( CONTROL!$C$15, $D$11, 100%, $F$11)</f>
        <v>28.114100000000001</v>
      </c>
      <c r="E855" s="12">
        <f>CHOOSE( CONTROL!$C$32, 28.1201, 28.119) * CHOOSE( CONTROL!$C$15, $D$11, 100%, $F$11)</f>
        <v>28.120100000000001</v>
      </c>
      <c r="F855" s="4">
        <f>CHOOSE( CONTROL!$C$32, 28.7921, 28.791) * CHOOSE(CONTROL!$C$15, $D$11, 100%, $F$11)</f>
        <v>28.792100000000001</v>
      </c>
      <c r="G855" s="8">
        <f>CHOOSE( CONTROL!$C$32, 27.809, 27.8079) * CHOOSE( CONTROL!$C$15, $D$11, 100%, $F$11)</f>
        <v>27.809000000000001</v>
      </c>
      <c r="H855" s="4">
        <f>CHOOSE( CONTROL!$C$32, 28.7016, 28.7005) * CHOOSE(CONTROL!$C$15, $D$11, 100%, $F$11)</f>
        <v>28.701599999999999</v>
      </c>
      <c r="I855" s="8">
        <f>CHOOSE( CONTROL!$C$32, 27.4828, 27.4817) * CHOOSE(CONTROL!$C$15, $D$11, 100%, $F$11)</f>
        <v>27.482800000000001</v>
      </c>
      <c r="J855" s="4">
        <f>CHOOSE( CONTROL!$C$32, 27.2883, 27.2873) * CHOOSE(CONTROL!$C$15, $D$11, 100%, $F$11)</f>
        <v>27.2883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67206</v>
      </c>
      <c r="B856" s="8">
        <f>CHOOSE( CONTROL!$C$32, 28.0757, 28.0746) * CHOOSE(CONTROL!$C$15, $D$11, 100%, $F$11)</f>
        <v>28.075700000000001</v>
      </c>
      <c r="C856" s="8">
        <f>CHOOSE( CONTROL!$C$32, 28.0808, 28.0797) * CHOOSE(CONTROL!$C$15, $D$11, 100%, $F$11)</f>
        <v>28.0808</v>
      </c>
      <c r="D856" s="8">
        <f>CHOOSE( CONTROL!$C$32, 28.0644, 28.0633) * CHOOSE( CONTROL!$C$15, $D$11, 100%, $F$11)</f>
        <v>28.064399999999999</v>
      </c>
      <c r="E856" s="12">
        <f>CHOOSE( CONTROL!$C$32, 28.0699, 28.0688) * CHOOSE( CONTROL!$C$15, $D$11, 100%, $F$11)</f>
        <v>28.069900000000001</v>
      </c>
      <c r="F856" s="4">
        <f>CHOOSE( CONTROL!$C$32, 28.741, 28.7399) * CHOOSE(CONTROL!$C$15, $D$11, 100%, $F$11)</f>
        <v>28.741</v>
      </c>
      <c r="G856" s="8">
        <f>CHOOSE( CONTROL!$C$32, 27.7595, 27.7584) * CHOOSE( CONTROL!$C$15, $D$11, 100%, $F$11)</f>
        <v>27.759499999999999</v>
      </c>
      <c r="H856" s="4">
        <f>CHOOSE( CONTROL!$C$32, 28.651, 28.65) * CHOOSE(CONTROL!$C$15, $D$11, 100%, $F$11)</f>
        <v>28.651</v>
      </c>
      <c r="I856" s="8">
        <f>CHOOSE( CONTROL!$C$32, 27.4376, 27.4366) * CHOOSE(CONTROL!$C$15, $D$11, 100%, $F$11)</f>
        <v>27.4376</v>
      </c>
      <c r="J856" s="4">
        <f>CHOOSE( CONTROL!$C$32, 27.2387, 27.2376) * CHOOSE(CONTROL!$C$15, $D$11, 100%, $F$11)</f>
        <v>27.238700000000001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67237</v>
      </c>
      <c r="B857" s="8">
        <f>CHOOSE( CONTROL!$C$32, 28.9035, 28.9024) * CHOOSE(CONTROL!$C$15, $D$11, 100%, $F$11)</f>
        <v>28.903500000000001</v>
      </c>
      <c r="C857" s="8">
        <f>CHOOSE( CONTROL!$C$32, 28.9086, 28.9075) * CHOOSE(CONTROL!$C$15, $D$11, 100%, $F$11)</f>
        <v>28.9086</v>
      </c>
      <c r="D857" s="8">
        <f>CHOOSE( CONTROL!$C$32, 28.8873, 28.8862) * CHOOSE( CONTROL!$C$15, $D$11, 100%, $F$11)</f>
        <v>28.8873</v>
      </c>
      <c r="E857" s="12">
        <f>CHOOSE( CONTROL!$C$32, 28.8945, 28.8934) * CHOOSE( CONTROL!$C$15, $D$11, 100%, $F$11)</f>
        <v>28.894500000000001</v>
      </c>
      <c r="F857" s="4">
        <f>CHOOSE( CONTROL!$C$32, 29.5688, 29.5677) * CHOOSE(CONTROL!$C$15, $D$11, 100%, $F$11)</f>
        <v>29.5688</v>
      </c>
      <c r="G857" s="8">
        <f>CHOOSE( CONTROL!$C$32, 28.5672, 28.5661) * CHOOSE( CONTROL!$C$15, $D$11, 100%, $F$11)</f>
        <v>28.5672</v>
      </c>
      <c r="H857" s="4">
        <f>CHOOSE( CONTROL!$C$32, 29.4692, 29.4681) * CHOOSE(CONTROL!$C$15, $D$11, 100%, $F$11)</f>
        <v>29.469200000000001</v>
      </c>
      <c r="I857" s="8">
        <f>CHOOSE( CONTROL!$C$32, 28.2035, 28.2024) * CHOOSE(CONTROL!$C$15, $D$11, 100%, $F$11)</f>
        <v>28.203499999999998</v>
      </c>
      <c r="J857" s="4">
        <f>CHOOSE( CONTROL!$C$32, 28.0421, 28.0411) * CHOOSE(CONTROL!$C$15, $D$11, 100%, $F$11)</f>
        <v>28.042100000000001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67266</v>
      </c>
      <c r="B858" s="8">
        <f>CHOOSE( CONTROL!$C$32, 27.0356, 27.0345) * CHOOSE(CONTROL!$C$15, $D$11, 100%, $F$11)</f>
        <v>27.035599999999999</v>
      </c>
      <c r="C858" s="8">
        <f>CHOOSE( CONTROL!$C$32, 27.0407, 27.0396) * CHOOSE(CONTROL!$C$15, $D$11, 100%, $F$11)</f>
        <v>27.040700000000001</v>
      </c>
      <c r="D858" s="8">
        <f>CHOOSE( CONTROL!$C$32, 27.0193, 27.0182) * CHOOSE( CONTROL!$C$15, $D$11, 100%, $F$11)</f>
        <v>27.019300000000001</v>
      </c>
      <c r="E858" s="12">
        <f>CHOOSE( CONTROL!$C$32, 27.0266, 27.0255) * CHOOSE( CONTROL!$C$15, $D$11, 100%, $F$11)</f>
        <v>27.026599999999998</v>
      </c>
      <c r="F858" s="4">
        <f>CHOOSE( CONTROL!$C$32, 27.7009, 27.6998) * CHOOSE(CONTROL!$C$15, $D$11, 100%, $F$11)</f>
        <v>27.700900000000001</v>
      </c>
      <c r="G858" s="8">
        <f>CHOOSE( CONTROL!$C$32, 26.721, 26.72) * CHOOSE( CONTROL!$C$15, $D$11, 100%, $F$11)</f>
        <v>26.721</v>
      </c>
      <c r="H858" s="4">
        <f>CHOOSE( CONTROL!$C$32, 27.6231, 27.6221) * CHOOSE(CONTROL!$C$15, $D$11, 100%, $F$11)</f>
        <v>27.623100000000001</v>
      </c>
      <c r="I858" s="8">
        <f>CHOOSE( CONTROL!$C$32, 26.3894, 26.3883) * CHOOSE(CONTROL!$C$15, $D$11, 100%, $F$11)</f>
        <v>26.389399999999998</v>
      </c>
      <c r="J858" s="4">
        <f>CHOOSE( CONTROL!$C$32, 26.2293, 26.2283) * CHOOSE(CONTROL!$C$15, $D$11, 100%, $F$11)</f>
        <v>26.229299999999999</v>
      </c>
      <c r="K858" s="4"/>
      <c r="L858" s="9">
        <v>27.415299999999998</v>
      </c>
      <c r="M858" s="9">
        <v>11.285299999999999</v>
      </c>
      <c r="N858" s="9">
        <v>4.6254999999999997</v>
      </c>
      <c r="O858" s="9">
        <v>0.34989999999999999</v>
      </c>
      <c r="P858" s="9">
        <v>1.2093</v>
      </c>
      <c r="Q858" s="9">
        <v>18.417899999999999</v>
      </c>
      <c r="R858" s="9"/>
      <c r="S858" s="11"/>
    </row>
    <row r="859" spans="1:19" ht="15.75">
      <c r="A859" s="13">
        <v>67297</v>
      </c>
      <c r="B859" s="8">
        <f>CHOOSE( CONTROL!$C$32, 26.4603, 26.4592) * CHOOSE(CONTROL!$C$15, $D$11, 100%, $F$11)</f>
        <v>26.4603</v>
      </c>
      <c r="C859" s="8">
        <f>CHOOSE( CONTROL!$C$32, 26.4654, 26.4643) * CHOOSE(CONTROL!$C$15, $D$11, 100%, $F$11)</f>
        <v>26.465399999999999</v>
      </c>
      <c r="D859" s="8">
        <f>CHOOSE( CONTROL!$C$32, 26.4433, 26.4422) * CHOOSE( CONTROL!$C$15, $D$11, 100%, $F$11)</f>
        <v>26.443300000000001</v>
      </c>
      <c r="E859" s="12">
        <f>CHOOSE( CONTROL!$C$32, 26.4508, 26.4497) * CHOOSE( CONTROL!$C$15, $D$11, 100%, $F$11)</f>
        <v>26.450800000000001</v>
      </c>
      <c r="F859" s="4">
        <f>CHOOSE( CONTROL!$C$32, 27.1256, 27.1245) * CHOOSE(CONTROL!$C$15, $D$11, 100%, $F$11)</f>
        <v>27.125599999999999</v>
      </c>
      <c r="G859" s="8">
        <f>CHOOSE( CONTROL!$C$32, 26.152, 26.1509) * CHOOSE( CONTROL!$C$15, $D$11, 100%, $F$11)</f>
        <v>26.152000000000001</v>
      </c>
      <c r="H859" s="4">
        <f>CHOOSE( CONTROL!$C$32, 27.0546, 27.0535) * CHOOSE(CONTROL!$C$15, $D$11, 100%, $F$11)</f>
        <v>27.054600000000001</v>
      </c>
      <c r="I859" s="8">
        <f>CHOOSE( CONTROL!$C$32, 25.8288, 25.8277) * CHOOSE(CONTROL!$C$15, $D$11, 100%, $F$11)</f>
        <v>25.828800000000001</v>
      </c>
      <c r="J859" s="4">
        <f>CHOOSE( CONTROL!$C$32, 25.671, 25.6699) * CHOOSE(CONTROL!$C$15, $D$11, 100%, $F$11)</f>
        <v>25.670999999999999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67327</v>
      </c>
      <c r="B860" s="8">
        <f>CHOOSE( CONTROL!$C$32, 26.8631, 26.862) * CHOOSE(CONTROL!$C$15, $D$11, 100%, $F$11)</f>
        <v>26.863099999999999</v>
      </c>
      <c r="C860" s="8">
        <f>CHOOSE( CONTROL!$C$32, 26.8676, 26.8665) * CHOOSE(CONTROL!$C$15, $D$11, 100%, $F$11)</f>
        <v>26.867599999999999</v>
      </c>
      <c r="D860" s="8">
        <f>CHOOSE( CONTROL!$C$32, 26.8704, 26.8694) * CHOOSE( CONTROL!$C$15, $D$11, 100%, $F$11)</f>
        <v>26.8704</v>
      </c>
      <c r="E860" s="12">
        <f>CHOOSE( CONTROL!$C$32, 26.869, 26.8679) * CHOOSE( CONTROL!$C$15, $D$11, 100%, $F$11)</f>
        <v>26.869</v>
      </c>
      <c r="F860" s="4">
        <f>CHOOSE( CONTROL!$C$32, 27.5714, 27.5703) * CHOOSE(CONTROL!$C$15, $D$11, 100%, $F$11)</f>
        <v>27.571400000000001</v>
      </c>
      <c r="G860" s="8">
        <f>CHOOSE( CONTROL!$C$32, 26.5598, 26.5587) * CHOOSE( CONTROL!$C$15, $D$11, 100%, $F$11)</f>
        <v>26.559799999999999</v>
      </c>
      <c r="H860" s="4">
        <f>CHOOSE( CONTROL!$C$32, 27.4951, 27.4941) * CHOOSE(CONTROL!$C$15, $D$11, 100%, $F$11)</f>
        <v>27.495100000000001</v>
      </c>
      <c r="I860" s="8">
        <f>CHOOSE( CONTROL!$C$32, 26.1914, 26.1903) * CHOOSE(CONTROL!$C$15, $D$11, 100%, $F$11)</f>
        <v>26.191400000000002</v>
      </c>
      <c r="J860" s="4">
        <f>CHOOSE( CONTROL!$C$32, 26.0611, 26.0601) * CHOOSE(CONTROL!$C$15, $D$11, 100%, $F$11)</f>
        <v>26.0611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1.2509999999999999</v>
      </c>
      <c r="Q860" s="9">
        <v>19.053000000000001</v>
      </c>
      <c r="R860" s="9"/>
      <c r="S860" s="11"/>
    </row>
    <row r="861" spans="1:19" ht="15.75">
      <c r="A861" s="13">
        <v>67358</v>
      </c>
      <c r="B861" s="8">
        <f>CHOOSE( CONTROL!$C$32, 27.5805, 27.5789) * CHOOSE(CONTROL!$C$15, $D$11, 100%, $F$11)</f>
        <v>27.580500000000001</v>
      </c>
      <c r="C861" s="8">
        <f>CHOOSE( CONTROL!$C$32, 27.5885, 27.5868) * CHOOSE(CONTROL!$C$15, $D$11, 100%, $F$11)</f>
        <v>27.5885</v>
      </c>
      <c r="D861" s="8">
        <f>CHOOSE( CONTROL!$C$32, 27.5852, 27.5836) * CHOOSE( CONTROL!$C$15, $D$11, 100%, $F$11)</f>
        <v>27.5852</v>
      </c>
      <c r="E861" s="12">
        <f>CHOOSE( CONTROL!$C$32, 27.5852, 27.5836) * CHOOSE( CONTROL!$C$15, $D$11, 100%, $F$11)</f>
        <v>27.5852</v>
      </c>
      <c r="F861" s="4">
        <f>CHOOSE( CONTROL!$C$32, 28.2875, 28.2858) * CHOOSE(CONTROL!$C$15, $D$11, 100%, $F$11)</f>
        <v>28.287500000000001</v>
      </c>
      <c r="G861" s="8">
        <f>CHOOSE( CONTROL!$C$32, 27.2673, 27.2657) * CHOOSE( CONTROL!$C$15, $D$11, 100%, $F$11)</f>
        <v>27.267299999999999</v>
      </c>
      <c r="H861" s="4">
        <f>CHOOSE( CONTROL!$C$32, 28.2028, 28.2012) * CHOOSE(CONTROL!$C$15, $D$11, 100%, $F$11)</f>
        <v>28.2028</v>
      </c>
      <c r="I861" s="8">
        <f>CHOOSE( CONTROL!$C$32, 26.8859, 26.8843) * CHOOSE(CONTROL!$C$15, $D$11, 100%, $F$11)</f>
        <v>26.885899999999999</v>
      </c>
      <c r="J861" s="4">
        <f>CHOOSE( CONTROL!$C$32, 26.7561, 26.7545) * CHOOSE(CONTROL!$C$15, $D$11, 100%, $F$11)</f>
        <v>26.7561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1.2927</v>
      </c>
      <c r="Q861" s="9">
        <v>19.688099999999999</v>
      </c>
      <c r="R861" s="9"/>
      <c r="S861" s="11"/>
    </row>
    <row r="862" spans="1:19" ht="15.75">
      <c r="A862" s="13">
        <v>67388</v>
      </c>
      <c r="B862" s="8">
        <f>CHOOSE( CONTROL!$C$32, 27.1373, 27.1356) * CHOOSE(CONTROL!$C$15, $D$11, 100%, $F$11)</f>
        <v>27.1373</v>
      </c>
      <c r="C862" s="8">
        <f>CHOOSE( CONTROL!$C$32, 27.1453, 27.1436) * CHOOSE(CONTROL!$C$15, $D$11, 100%, $F$11)</f>
        <v>27.145299999999999</v>
      </c>
      <c r="D862" s="8">
        <f>CHOOSE( CONTROL!$C$32, 27.1422, 27.1406) * CHOOSE( CONTROL!$C$15, $D$11, 100%, $F$11)</f>
        <v>27.142199999999999</v>
      </c>
      <c r="E862" s="12">
        <f>CHOOSE( CONTROL!$C$32, 27.1421, 27.1405) * CHOOSE( CONTROL!$C$15, $D$11, 100%, $F$11)</f>
        <v>27.142099999999999</v>
      </c>
      <c r="F862" s="4">
        <f>CHOOSE( CONTROL!$C$32, 27.8442, 27.8426) * CHOOSE(CONTROL!$C$15, $D$11, 100%, $F$11)</f>
        <v>27.844200000000001</v>
      </c>
      <c r="G862" s="8">
        <f>CHOOSE( CONTROL!$C$32, 26.8295, 26.8278) * CHOOSE( CONTROL!$C$15, $D$11, 100%, $F$11)</f>
        <v>26.829499999999999</v>
      </c>
      <c r="H862" s="4">
        <f>CHOOSE( CONTROL!$C$32, 27.7648, 27.7632) * CHOOSE(CONTROL!$C$15, $D$11, 100%, $F$11)</f>
        <v>27.764800000000001</v>
      </c>
      <c r="I862" s="8">
        <f>CHOOSE( CONTROL!$C$32, 26.4563, 26.4547) * CHOOSE(CONTROL!$C$15, $D$11, 100%, $F$11)</f>
        <v>26.456299999999999</v>
      </c>
      <c r="J862" s="4">
        <f>CHOOSE( CONTROL!$C$32, 26.3259, 26.3243) * CHOOSE(CONTROL!$C$15, $D$11, 100%, $F$11)</f>
        <v>26.325900000000001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1.2509999999999999</v>
      </c>
      <c r="Q862" s="9">
        <v>19.053000000000001</v>
      </c>
      <c r="R862" s="9"/>
      <c r="S862" s="11"/>
    </row>
    <row r="863" spans="1:19" ht="15.75">
      <c r="A863" s="13">
        <v>67419</v>
      </c>
      <c r="B863" s="8">
        <f>CHOOSE( CONTROL!$C$32, 28.3045, 28.3028) * CHOOSE(CONTROL!$C$15, $D$11, 100%, $F$11)</f>
        <v>28.304500000000001</v>
      </c>
      <c r="C863" s="8">
        <f>CHOOSE( CONTROL!$C$32, 28.3124, 28.3108) * CHOOSE(CONTROL!$C$15, $D$11, 100%, $F$11)</f>
        <v>28.3124</v>
      </c>
      <c r="D863" s="8">
        <f>CHOOSE( CONTROL!$C$32, 28.3096, 28.308) * CHOOSE( CONTROL!$C$15, $D$11, 100%, $F$11)</f>
        <v>28.3096</v>
      </c>
      <c r="E863" s="12">
        <f>CHOOSE( CONTROL!$C$32, 28.3094, 28.3078) * CHOOSE( CONTROL!$C$15, $D$11, 100%, $F$11)</f>
        <v>28.3094</v>
      </c>
      <c r="F863" s="4">
        <f>CHOOSE( CONTROL!$C$32, 29.0114, 29.0097) * CHOOSE(CONTROL!$C$15, $D$11, 100%, $F$11)</f>
        <v>29.011399999999998</v>
      </c>
      <c r="G863" s="8">
        <f>CHOOSE( CONTROL!$C$32, 27.9832, 27.9815) * CHOOSE( CONTROL!$C$15, $D$11, 100%, $F$11)</f>
        <v>27.9832</v>
      </c>
      <c r="H863" s="4">
        <f>CHOOSE( CONTROL!$C$32, 28.9183, 28.9167) * CHOOSE(CONTROL!$C$15, $D$11, 100%, $F$11)</f>
        <v>28.918299999999999</v>
      </c>
      <c r="I863" s="8">
        <f>CHOOSE( CONTROL!$C$32, 27.5905, 27.5889) * CHOOSE(CONTROL!$C$15, $D$11, 100%, $F$11)</f>
        <v>27.590499999999999</v>
      </c>
      <c r="J863" s="4">
        <f>CHOOSE( CONTROL!$C$32, 27.4587, 27.4571) * CHOOSE(CONTROL!$C$15, $D$11, 100%, $F$11)</f>
        <v>27.4587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1.2927</v>
      </c>
      <c r="Q863" s="9">
        <v>19.688099999999999</v>
      </c>
      <c r="R863" s="9"/>
      <c r="S863" s="11"/>
    </row>
    <row r="864" spans="1:19" ht="15.75">
      <c r="A864" s="13">
        <v>67450</v>
      </c>
      <c r="B864" s="8">
        <f>CHOOSE( CONTROL!$C$32, 26.1206, 26.1189) * CHOOSE(CONTROL!$C$15, $D$11, 100%, $F$11)</f>
        <v>26.1206</v>
      </c>
      <c r="C864" s="8">
        <f>CHOOSE( CONTROL!$C$32, 26.1285, 26.1269) * CHOOSE(CONTROL!$C$15, $D$11, 100%, $F$11)</f>
        <v>26.128499999999999</v>
      </c>
      <c r="D864" s="8">
        <f>CHOOSE( CONTROL!$C$32, 26.1258, 26.1242) * CHOOSE( CONTROL!$C$15, $D$11, 100%, $F$11)</f>
        <v>26.125800000000002</v>
      </c>
      <c r="E864" s="12">
        <f>CHOOSE( CONTROL!$C$32, 26.1256, 26.124) * CHOOSE( CONTROL!$C$15, $D$11, 100%, $F$11)</f>
        <v>26.125599999999999</v>
      </c>
      <c r="F864" s="4">
        <f>CHOOSE( CONTROL!$C$32, 26.8275, 26.8258) * CHOOSE(CONTROL!$C$15, $D$11, 100%, $F$11)</f>
        <v>26.827500000000001</v>
      </c>
      <c r="G864" s="8">
        <f>CHOOSE( CONTROL!$C$32, 25.8249, 25.8233) * CHOOSE( CONTROL!$C$15, $D$11, 100%, $F$11)</f>
        <v>25.8249</v>
      </c>
      <c r="H864" s="4">
        <f>CHOOSE( CONTROL!$C$32, 26.76, 26.7583) * CHOOSE(CONTROL!$C$15, $D$11, 100%, $F$11)</f>
        <v>26.76</v>
      </c>
      <c r="I864" s="8">
        <f>CHOOSE( CONTROL!$C$32, 25.4703, 25.4687) * CHOOSE(CONTROL!$C$15, $D$11, 100%, $F$11)</f>
        <v>25.470300000000002</v>
      </c>
      <c r="J864" s="4">
        <f>CHOOSE( CONTROL!$C$32, 25.3392, 25.3376) * CHOOSE(CONTROL!$C$15, $D$11, 100%, $F$11)</f>
        <v>25.339200000000002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1.2927</v>
      </c>
      <c r="Q864" s="9">
        <v>19.688099999999999</v>
      </c>
      <c r="R864" s="9"/>
      <c r="S864" s="11"/>
    </row>
    <row r="865" spans="1:19" ht="15.75">
      <c r="A865" s="13">
        <v>67480</v>
      </c>
      <c r="B865" s="8">
        <f>CHOOSE( CONTROL!$C$32, 25.5737, 25.572) * CHOOSE(CONTROL!$C$15, $D$11, 100%, $F$11)</f>
        <v>25.573699999999999</v>
      </c>
      <c r="C865" s="8">
        <f>CHOOSE( CONTROL!$C$32, 25.5817, 25.58) * CHOOSE(CONTROL!$C$15, $D$11, 100%, $F$11)</f>
        <v>25.581700000000001</v>
      </c>
      <c r="D865" s="8">
        <f>CHOOSE( CONTROL!$C$32, 25.5789, 25.5773) * CHOOSE( CONTROL!$C$15, $D$11, 100%, $F$11)</f>
        <v>25.578900000000001</v>
      </c>
      <c r="E865" s="12">
        <f>CHOOSE( CONTROL!$C$32, 25.5787, 25.5771) * CHOOSE( CONTROL!$C$15, $D$11, 100%, $F$11)</f>
        <v>25.578700000000001</v>
      </c>
      <c r="F865" s="4">
        <f>CHOOSE( CONTROL!$C$32, 26.2806, 26.279) * CHOOSE(CONTROL!$C$15, $D$11, 100%, $F$11)</f>
        <v>26.2806</v>
      </c>
      <c r="G865" s="8">
        <f>CHOOSE( CONTROL!$C$32, 25.2844, 25.2828) * CHOOSE( CONTROL!$C$15, $D$11, 100%, $F$11)</f>
        <v>25.284400000000002</v>
      </c>
      <c r="H865" s="4">
        <f>CHOOSE( CONTROL!$C$32, 26.2195, 26.2179) * CHOOSE(CONTROL!$C$15, $D$11, 100%, $F$11)</f>
        <v>26.2195</v>
      </c>
      <c r="I865" s="8">
        <f>CHOOSE( CONTROL!$C$32, 24.9391, 24.9375) * CHOOSE(CONTROL!$C$15, $D$11, 100%, $F$11)</f>
        <v>24.9391</v>
      </c>
      <c r="J865" s="4">
        <f>CHOOSE( CONTROL!$C$32, 24.8084, 24.8068) * CHOOSE(CONTROL!$C$15, $D$11, 100%, $F$11)</f>
        <v>24.808399999999999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1.2509999999999999</v>
      </c>
      <c r="Q865" s="9">
        <v>19.053000000000001</v>
      </c>
      <c r="R865" s="9"/>
      <c r="S865" s="11"/>
    </row>
    <row r="866" spans="1:19" ht="15.75">
      <c r="A866" s="13">
        <v>67511</v>
      </c>
      <c r="B866" s="8">
        <f>CHOOSE( CONTROL!$C$32, 26.7069, 26.7058) * CHOOSE(CONTROL!$C$15, $D$11, 100%, $F$11)</f>
        <v>26.706900000000001</v>
      </c>
      <c r="C866" s="8">
        <f>CHOOSE( CONTROL!$C$32, 26.7122, 26.7111) * CHOOSE(CONTROL!$C$15, $D$11, 100%, $F$11)</f>
        <v>26.712199999999999</v>
      </c>
      <c r="D866" s="8">
        <f>CHOOSE( CONTROL!$C$32, 26.7151, 26.714) * CHOOSE( CONTROL!$C$15, $D$11, 100%, $F$11)</f>
        <v>26.7151</v>
      </c>
      <c r="E866" s="12">
        <f>CHOOSE( CONTROL!$C$32, 26.7136, 26.7125) * CHOOSE( CONTROL!$C$15, $D$11, 100%, $F$11)</f>
        <v>26.7136</v>
      </c>
      <c r="F866" s="4">
        <f>CHOOSE( CONTROL!$C$32, 27.4156, 27.4145) * CHOOSE(CONTROL!$C$15, $D$11, 100%, $F$11)</f>
        <v>27.415600000000001</v>
      </c>
      <c r="G866" s="8">
        <f>CHOOSE( CONTROL!$C$32, 26.4062, 26.4051) * CHOOSE( CONTROL!$C$15, $D$11, 100%, $F$11)</f>
        <v>26.406199999999998</v>
      </c>
      <c r="H866" s="4">
        <f>CHOOSE( CONTROL!$C$32, 27.3411, 27.3401) * CHOOSE(CONTROL!$C$15, $D$11, 100%, $F$11)</f>
        <v>27.341100000000001</v>
      </c>
      <c r="I866" s="8">
        <f>CHOOSE( CONTROL!$C$32, 26.0419, 26.0409) * CHOOSE(CONTROL!$C$15, $D$11, 100%, $F$11)</f>
        <v>26.041899999999998</v>
      </c>
      <c r="J866" s="4">
        <f>CHOOSE( CONTROL!$C$32, 25.9099, 25.9088) * CHOOSE(CONTROL!$C$15, $D$11, 100%, $F$11)</f>
        <v>25.9099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1.2927</v>
      </c>
      <c r="Q866" s="9">
        <v>19.688099999999999</v>
      </c>
      <c r="R866" s="9"/>
      <c r="S866" s="11"/>
    </row>
    <row r="867" spans="1:19" ht="15.75">
      <c r="A867" s="13">
        <v>67541</v>
      </c>
      <c r="B867" s="8">
        <f>CHOOSE( CONTROL!$C$32, 28.8024, 28.8013) * CHOOSE(CONTROL!$C$15, $D$11, 100%, $F$11)</f>
        <v>28.802399999999999</v>
      </c>
      <c r="C867" s="8">
        <f>CHOOSE( CONTROL!$C$32, 28.8075, 28.8064) * CHOOSE(CONTROL!$C$15, $D$11, 100%, $F$11)</f>
        <v>28.807500000000001</v>
      </c>
      <c r="D867" s="8">
        <f>CHOOSE( CONTROL!$C$32, 28.7896, 28.7886) * CHOOSE( CONTROL!$C$15, $D$11, 100%, $F$11)</f>
        <v>28.7896</v>
      </c>
      <c r="E867" s="12">
        <f>CHOOSE( CONTROL!$C$32, 28.7956, 28.7946) * CHOOSE( CONTROL!$C$15, $D$11, 100%, $F$11)</f>
        <v>28.7956</v>
      </c>
      <c r="F867" s="4">
        <f>CHOOSE( CONTROL!$C$32, 29.4677, 29.4666) * CHOOSE(CONTROL!$C$15, $D$11, 100%, $F$11)</f>
        <v>29.467700000000001</v>
      </c>
      <c r="G867" s="8">
        <f>CHOOSE( CONTROL!$C$32, 28.4767, 28.4756) * CHOOSE( CONTROL!$C$15, $D$11, 100%, $F$11)</f>
        <v>28.476700000000001</v>
      </c>
      <c r="H867" s="4">
        <f>CHOOSE( CONTROL!$C$32, 29.3692, 29.3682) * CHOOSE(CONTROL!$C$15, $D$11, 100%, $F$11)</f>
        <v>29.369199999999999</v>
      </c>
      <c r="I867" s="8">
        <f>CHOOSE( CONTROL!$C$32, 28.1388, 28.1377) * CHOOSE(CONTROL!$C$15, $D$11, 100%, $F$11)</f>
        <v>28.1388</v>
      </c>
      <c r="J867" s="4">
        <f>CHOOSE( CONTROL!$C$32, 27.944, 27.9429) * CHOOSE(CONTROL!$C$15, $D$11, 100%, $F$11)</f>
        <v>27.943999999999999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67572</v>
      </c>
      <c r="B868" s="8">
        <f>CHOOSE( CONTROL!$C$32, 28.75, 28.7489) * CHOOSE(CONTROL!$C$15, $D$11, 100%, $F$11)</f>
        <v>28.75</v>
      </c>
      <c r="C868" s="8">
        <f>CHOOSE( CONTROL!$C$32, 28.7551, 28.754) * CHOOSE(CONTROL!$C$15, $D$11, 100%, $F$11)</f>
        <v>28.755099999999999</v>
      </c>
      <c r="D868" s="8">
        <f>CHOOSE( CONTROL!$C$32, 28.7387, 28.7376) * CHOOSE( CONTROL!$C$15, $D$11, 100%, $F$11)</f>
        <v>28.738700000000001</v>
      </c>
      <c r="E868" s="12">
        <f>CHOOSE( CONTROL!$C$32, 28.7442, 28.7431) * CHOOSE( CONTROL!$C$15, $D$11, 100%, $F$11)</f>
        <v>28.744199999999999</v>
      </c>
      <c r="F868" s="4">
        <f>CHOOSE( CONTROL!$C$32, 29.4153, 29.4142) * CHOOSE(CONTROL!$C$15, $D$11, 100%, $F$11)</f>
        <v>29.415299999999998</v>
      </c>
      <c r="G868" s="8">
        <f>CHOOSE( CONTROL!$C$32, 28.4259, 28.4249) * CHOOSE( CONTROL!$C$15, $D$11, 100%, $F$11)</f>
        <v>28.425899999999999</v>
      </c>
      <c r="H868" s="4">
        <f>CHOOSE( CONTROL!$C$32, 29.3175, 29.3164) * CHOOSE(CONTROL!$C$15, $D$11, 100%, $F$11)</f>
        <v>29.317499999999999</v>
      </c>
      <c r="I868" s="8">
        <f>CHOOSE( CONTROL!$C$32, 28.0924, 28.0913) * CHOOSE(CONTROL!$C$15, $D$11, 100%, $F$11)</f>
        <v>28.092400000000001</v>
      </c>
      <c r="J868" s="4">
        <f>CHOOSE( CONTROL!$C$32, 27.8931, 27.8921) * CHOOSE(CONTROL!$C$15, $D$11, 100%, $F$11)</f>
        <v>27.8931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67603</v>
      </c>
      <c r="B869" s="8">
        <f>CHOOSE( CONTROL!$C$32, 29.5978, 29.5967) * CHOOSE(CONTROL!$C$15, $D$11, 100%, $F$11)</f>
        <v>29.597799999999999</v>
      </c>
      <c r="C869" s="8">
        <f>CHOOSE( CONTROL!$C$32, 29.6028, 29.6018) * CHOOSE(CONTROL!$C$15, $D$11, 100%, $F$11)</f>
        <v>29.602799999999998</v>
      </c>
      <c r="D869" s="8">
        <f>CHOOSE( CONTROL!$C$32, 29.5815, 29.5805) * CHOOSE( CONTROL!$C$15, $D$11, 100%, $F$11)</f>
        <v>29.581499999999998</v>
      </c>
      <c r="E869" s="12">
        <f>CHOOSE( CONTROL!$C$32, 29.5888, 29.5877) * CHOOSE( CONTROL!$C$15, $D$11, 100%, $F$11)</f>
        <v>29.588799999999999</v>
      </c>
      <c r="F869" s="4">
        <f>CHOOSE( CONTROL!$C$32, 30.263, 30.262) * CHOOSE(CONTROL!$C$15, $D$11, 100%, $F$11)</f>
        <v>30.263000000000002</v>
      </c>
      <c r="G869" s="8">
        <f>CHOOSE( CONTROL!$C$32, 29.2533, 29.2522) * CHOOSE( CONTROL!$C$15, $D$11, 100%, $F$11)</f>
        <v>29.253299999999999</v>
      </c>
      <c r="H869" s="4">
        <f>CHOOSE( CONTROL!$C$32, 30.1553, 30.1542) * CHOOSE(CONTROL!$C$15, $D$11, 100%, $F$11)</f>
        <v>30.1553</v>
      </c>
      <c r="I869" s="8">
        <f>CHOOSE( CONTROL!$C$32, 28.8776, 28.8765) * CHOOSE(CONTROL!$C$15, $D$11, 100%, $F$11)</f>
        <v>28.877600000000001</v>
      </c>
      <c r="J869" s="4">
        <f>CHOOSE( CONTROL!$C$32, 28.7159, 28.7148) * CHOOSE(CONTROL!$C$15, $D$11, 100%, $F$11)</f>
        <v>28.715900000000001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67631</v>
      </c>
      <c r="B870" s="8">
        <f>CHOOSE( CONTROL!$C$32, 27.685, 27.6839) * CHOOSE(CONTROL!$C$15, $D$11, 100%, $F$11)</f>
        <v>27.684999999999999</v>
      </c>
      <c r="C870" s="8">
        <f>CHOOSE( CONTROL!$C$32, 27.69, 27.689) * CHOOSE(CONTROL!$C$15, $D$11, 100%, $F$11)</f>
        <v>27.69</v>
      </c>
      <c r="D870" s="8">
        <f>CHOOSE( CONTROL!$C$32, 27.6686, 27.6675) * CHOOSE( CONTROL!$C$15, $D$11, 100%, $F$11)</f>
        <v>27.668600000000001</v>
      </c>
      <c r="E870" s="12">
        <f>CHOOSE( CONTROL!$C$32, 27.6759, 27.6748) * CHOOSE( CONTROL!$C$15, $D$11, 100%, $F$11)</f>
        <v>27.675899999999999</v>
      </c>
      <c r="F870" s="4">
        <f>CHOOSE( CONTROL!$C$32, 28.3502, 28.3492) * CHOOSE(CONTROL!$C$15, $D$11, 100%, $F$11)</f>
        <v>28.350200000000001</v>
      </c>
      <c r="G870" s="8">
        <f>CHOOSE( CONTROL!$C$32, 27.3628, 27.3617) * CHOOSE( CONTROL!$C$15, $D$11, 100%, $F$11)</f>
        <v>27.3628</v>
      </c>
      <c r="H870" s="4">
        <f>CHOOSE( CONTROL!$C$32, 28.2649, 28.2638) * CHOOSE(CONTROL!$C$15, $D$11, 100%, $F$11)</f>
        <v>28.264900000000001</v>
      </c>
      <c r="I870" s="8">
        <f>CHOOSE( CONTROL!$C$32, 27.0199, 27.0188) * CHOOSE(CONTROL!$C$15, $D$11, 100%, $F$11)</f>
        <v>27.0199</v>
      </c>
      <c r="J870" s="4">
        <f>CHOOSE( CONTROL!$C$32, 26.8595, 26.8585) * CHOOSE(CONTROL!$C$15, $D$11, 100%, $F$11)</f>
        <v>26.859500000000001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67662</v>
      </c>
      <c r="B871" s="8">
        <f>CHOOSE( CONTROL!$C$32, 27.0958, 27.0947) * CHOOSE(CONTROL!$C$15, $D$11, 100%, $F$11)</f>
        <v>27.095800000000001</v>
      </c>
      <c r="C871" s="8">
        <f>CHOOSE( CONTROL!$C$32, 27.1009, 27.0998) * CHOOSE(CONTROL!$C$15, $D$11, 100%, $F$11)</f>
        <v>27.100899999999999</v>
      </c>
      <c r="D871" s="8">
        <f>CHOOSE( CONTROL!$C$32, 27.0789, 27.0778) * CHOOSE( CONTROL!$C$15, $D$11, 100%, $F$11)</f>
        <v>27.078900000000001</v>
      </c>
      <c r="E871" s="12">
        <f>CHOOSE( CONTROL!$C$32, 27.0864, 27.0853) * CHOOSE( CONTROL!$C$15, $D$11, 100%, $F$11)</f>
        <v>27.086400000000001</v>
      </c>
      <c r="F871" s="4">
        <f>CHOOSE( CONTROL!$C$32, 27.7611, 27.76) * CHOOSE(CONTROL!$C$15, $D$11, 100%, $F$11)</f>
        <v>27.761099999999999</v>
      </c>
      <c r="G871" s="8">
        <f>CHOOSE( CONTROL!$C$32, 26.7801, 26.779) * CHOOSE( CONTROL!$C$15, $D$11, 100%, $F$11)</f>
        <v>26.780100000000001</v>
      </c>
      <c r="H871" s="4">
        <f>CHOOSE( CONTROL!$C$32, 27.6827, 27.6816) * CHOOSE(CONTROL!$C$15, $D$11, 100%, $F$11)</f>
        <v>27.682700000000001</v>
      </c>
      <c r="I871" s="8">
        <f>CHOOSE( CONTROL!$C$32, 26.4458, 26.4448) * CHOOSE(CONTROL!$C$15, $D$11, 100%, $F$11)</f>
        <v>26.445799999999998</v>
      </c>
      <c r="J871" s="4">
        <f>CHOOSE( CONTROL!$C$32, 26.2878, 26.2867) * CHOOSE(CONTROL!$C$15, $D$11, 100%, $F$11)</f>
        <v>26.287800000000001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67692</v>
      </c>
      <c r="B872" s="8">
        <f>CHOOSE( CONTROL!$C$32, 27.5083, 27.5072) * CHOOSE(CONTROL!$C$15, $D$11, 100%, $F$11)</f>
        <v>27.508299999999998</v>
      </c>
      <c r="C872" s="8">
        <f>CHOOSE( CONTROL!$C$32, 27.5128, 27.5117) * CHOOSE(CONTROL!$C$15, $D$11, 100%, $F$11)</f>
        <v>27.512799999999999</v>
      </c>
      <c r="D872" s="8">
        <f>CHOOSE( CONTROL!$C$32, 27.5156, 27.5145) * CHOOSE( CONTROL!$C$15, $D$11, 100%, $F$11)</f>
        <v>27.515599999999999</v>
      </c>
      <c r="E872" s="12">
        <f>CHOOSE( CONTROL!$C$32, 27.5142, 27.5131) * CHOOSE( CONTROL!$C$15, $D$11, 100%, $F$11)</f>
        <v>27.514199999999999</v>
      </c>
      <c r="F872" s="4">
        <f>CHOOSE( CONTROL!$C$32, 28.2166, 28.2155) * CHOOSE(CONTROL!$C$15, $D$11, 100%, $F$11)</f>
        <v>28.2166</v>
      </c>
      <c r="G872" s="8">
        <f>CHOOSE( CONTROL!$C$32, 27.1974, 27.1963) * CHOOSE( CONTROL!$C$15, $D$11, 100%, $F$11)</f>
        <v>27.197399999999998</v>
      </c>
      <c r="H872" s="4">
        <f>CHOOSE( CONTROL!$C$32, 28.1328, 28.1317) * CHOOSE(CONTROL!$C$15, $D$11, 100%, $F$11)</f>
        <v>28.1328</v>
      </c>
      <c r="I872" s="8">
        <f>CHOOSE( CONTROL!$C$32, 26.8178, 26.8168) * CHOOSE(CONTROL!$C$15, $D$11, 100%, $F$11)</f>
        <v>26.817799999999998</v>
      </c>
      <c r="J872" s="4">
        <f>CHOOSE( CONTROL!$C$32, 26.6873, 26.6862) * CHOOSE(CONTROL!$C$15, $D$11, 100%, $F$11)</f>
        <v>26.6873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1.2509999999999999</v>
      </c>
      <c r="Q872" s="9">
        <v>19.053000000000001</v>
      </c>
      <c r="R872" s="9"/>
      <c r="S872" s="11"/>
    </row>
    <row r="873" spans="1:19" ht="15.75">
      <c r="A873" s="13">
        <v>67723</v>
      </c>
      <c r="B873" s="8">
        <f>CHOOSE( CONTROL!$C$32, 28.2429, 28.2412) * CHOOSE(CONTROL!$C$15, $D$11, 100%, $F$11)</f>
        <v>28.242899999999999</v>
      </c>
      <c r="C873" s="8">
        <f>CHOOSE( CONTROL!$C$32, 28.2509, 28.2492) * CHOOSE(CONTROL!$C$15, $D$11, 100%, $F$11)</f>
        <v>28.250900000000001</v>
      </c>
      <c r="D873" s="8">
        <f>CHOOSE( CONTROL!$C$32, 28.2476, 28.246) * CHOOSE( CONTROL!$C$15, $D$11, 100%, $F$11)</f>
        <v>28.247599999999998</v>
      </c>
      <c r="E873" s="12">
        <f>CHOOSE( CONTROL!$C$32, 28.2476, 28.2459) * CHOOSE( CONTROL!$C$15, $D$11, 100%, $F$11)</f>
        <v>28.247599999999998</v>
      </c>
      <c r="F873" s="4">
        <f>CHOOSE( CONTROL!$C$32, 28.9498, 28.9482) * CHOOSE(CONTROL!$C$15, $D$11, 100%, $F$11)</f>
        <v>28.9498</v>
      </c>
      <c r="G873" s="8">
        <f>CHOOSE( CONTROL!$C$32, 27.922, 27.9203) * CHOOSE( CONTROL!$C$15, $D$11, 100%, $F$11)</f>
        <v>27.922000000000001</v>
      </c>
      <c r="H873" s="4">
        <f>CHOOSE( CONTROL!$C$32, 28.8575, 28.8558) * CHOOSE(CONTROL!$C$15, $D$11, 100%, $F$11)</f>
        <v>28.857500000000002</v>
      </c>
      <c r="I873" s="8">
        <f>CHOOSE( CONTROL!$C$32, 27.5291, 27.5275) * CHOOSE(CONTROL!$C$15, $D$11, 100%, $F$11)</f>
        <v>27.5291</v>
      </c>
      <c r="J873" s="4">
        <f>CHOOSE( CONTROL!$C$32, 27.3989, 27.3973) * CHOOSE(CONTROL!$C$15, $D$11, 100%, $F$11)</f>
        <v>27.398900000000001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1.2927</v>
      </c>
      <c r="Q873" s="9">
        <v>19.688099999999999</v>
      </c>
      <c r="R873" s="9"/>
      <c r="S873" s="11"/>
    </row>
    <row r="874" spans="1:19" ht="15.75">
      <c r="A874" s="13">
        <v>67753</v>
      </c>
      <c r="B874" s="8">
        <f>CHOOSE( CONTROL!$C$32, 27.789, 27.7874) * CHOOSE(CONTROL!$C$15, $D$11, 100%, $F$11)</f>
        <v>27.789000000000001</v>
      </c>
      <c r="C874" s="8">
        <f>CHOOSE( CONTROL!$C$32, 27.797, 27.7953) * CHOOSE(CONTROL!$C$15, $D$11, 100%, $F$11)</f>
        <v>27.797000000000001</v>
      </c>
      <c r="D874" s="8">
        <f>CHOOSE( CONTROL!$C$32, 27.794, 27.7923) * CHOOSE( CONTROL!$C$15, $D$11, 100%, $F$11)</f>
        <v>27.794</v>
      </c>
      <c r="E874" s="12">
        <f>CHOOSE( CONTROL!$C$32, 27.7939, 27.7922) * CHOOSE( CONTROL!$C$15, $D$11, 100%, $F$11)</f>
        <v>27.793900000000001</v>
      </c>
      <c r="F874" s="4">
        <f>CHOOSE( CONTROL!$C$32, 28.496, 28.4943) * CHOOSE(CONTROL!$C$15, $D$11, 100%, $F$11)</f>
        <v>28.495999999999999</v>
      </c>
      <c r="G874" s="8">
        <f>CHOOSE( CONTROL!$C$32, 27.4736, 27.4719) * CHOOSE( CONTROL!$C$15, $D$11, 100%, $F$11)</f>
        <v>27.473600000000001</v>
      </c>
      <c r="H874" s="4">
        <f>CHOOSE( CONTROL!$C$32, 28.4089, 28.4073) * CHOOSE(CONTROL!$C$15, $D$11, 100%, $F$11)</f>
        <v>28.408899999999999</v>
      </c>
      <c r="I874" s="8">
        <f>CHOOSE( CONTROL!$C$32, 27.0892, 27.0876) * CHOOSE(CONTROL!$C$15, $D$11, 100%, $F$11)</f>
        <v>27.089200000000002</v>
      </c>
      <c r="J874" s="4">
        <f>CHOOSE( CONTROL!$C$32, 26.9584, 26.9568) * CHOOSE(CONTROL!$C$15, $D$11, 100%, $F$11)</f>
        <v>26.958400000000001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1.2509999999999999</v>
      </c>
      <c r="Q874" s="9">
        <v>19.053000000000001</v>
      </c>
      <c r="R874" s="9"/>
      <c r="S874" s="11"/>
    </row>
    <row r="875" spans="1:19" ht="15.75">
      <c r="A875" s="13">
        <v>67784</v>
      </c>
      <c r="B875" s="8">
        <f>CHOOSE( CONTROL!$C$32, 28.9842, 28.9826) * CHOOSE(CONTROL!$C$15, $D$11, 100%, $F$11)</f>
        <v>28.984200000000001</v>
      </c>
      <c r="C875" s="8">
        <f>CHOOSE( CONTROL!$C$32, 28.9922, 28.9906) * CHOOSE(CONTROL!$C$15, $D$11, 100%, $F$11)</f>
        <v>28.9922</v>
      </c>
      <c r="D875" s="8">
        <f>CHOOSE( CONTROL!$C$32, 28.9894, 28.9878) * CHOOSE( CONTROL!$C$15, $D$11, 100%, $F$11)</f>
        <v>28.9894</v>
      </c>
      <c r="E875" s="12">
        <f>CHOOSE( CONTROL!$C$32, 28.9892, 28.9876) * CHOOSE( CONTROL!$C$15, $D$11, 100%, $F$11)</f>
        <v>28.9892</v>
      </c>
      <c r="F875" s="4">
        <f>CHOOSE( CONTROL!$C$32, 29.6912, 29.6895) * CHOOSE(CONTROL!$C$15, $D$11, 100%, $F$11)</f>
        <v>29.691199999999998</v>
      </c>
      <c r="G875" s="8">
        <f>CHOOSE( CONTROL!$C$32, 28.655, 28.6534) * CHOOSE( CONTROL!$C$15, $D$11, 100%, $F$11)</f>
        <v>28.655000000000001</v>
      </c>
      <c r="H875" s="4">
        <f>CHOOSE( CONTROL!$C$32, 29.5901, 29.5885) * CHOOSE(CONTROL!$C$15, $D$11, 100%, $F$11)</f>
        <v>29.5901</v>
      </c>
      <c r="I875" s="8">
        <f>CHOOSE( CONTROL!$C$32, 28.2505, 28.2489) * CHOOSE(CONTROL!$C$15, $D$11, 100%, $F$11)</f>
        <v>28.250499999999999</v>
      </c>
      <c r="J875" s="4">
        <f>CHOOSE( CONTROL!$C$32, 28.1184, 28.1168) * CHOOSE(CONTROL!$C$15, $D$11, 100%, $F$11)</f>
        <v>28.118400000000001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1.2927</v>
      </c>
      <c r="Q875" s="9">
        <v>19.688099999999999</v>
      </c>
      <c r="R875" s="9"/>
      <c r="S875" s="11"/>
    </row>
    <row r="876" spans="1:19" ht="15.75">
      <c r="A876" s="13">
        <v>67815</v>
      </c>
      <c r="B876" s="8">
        <f>CHOOSE( CONTROL!$C$32, 26.7479, 26.7462) * CHOOSE(CONTROL!$C$15, $D$11, 100%, $F$11)</f>
        <v>26.747900000000001</v>
      </c>
      <c r="C876" s="8">
        <f>CHOOSE( CONTROL!$C$32, 26.7558, 26.7542) * CHOOSE(CONTROL!$C$15, $D$11, 100%, $F$11)</f>
        <v>26.755800000000001</v>
      </c>
      <c r="D876" s="8">
        <f>CHOOSE( CONTROL!$C$32, 26.7531, 26.7515) * CHOOSE( CONTROL!$C$15, $D$11, 100%, $F$11)</f>
        <v>26.7531</v>
      </c>
      <c r="E876" s="12">
        <f>CHOOSE( CONTROL!$C$32, 26.7529, 26.7513) * CHOOSE( CONTROL!$C$15, $D$11, 100%, $F$11)</f>
        <v>26.7529</v>
      </c>
      <c r="F876" s="4">
        <f>CHOOSE( CONTROL!$C$32, 27.4548, 27.4531) * CHOOSE(CONTROL!$C$15, $D$11, 100%, $F$11)</f>
        <v>27.454799999999999</v>
      </c>
      <c r="G876" s="8">
        <f>CHOOSE( CONTROL!$C$32, 26.4449, 26.4432) * CHOOSE( CONTROL!$C$15, $D$11, 100%, $F$11)</f>
        <v>26.444900000000001</v>
      </c>
      <c r="H876" s="4">
        <f>CHOOSE( CONTROL!$C$32, 27.3799, 27.3783) * CHOOSE(CONTROL!$C$15, $D$11, 100%, $F$11)</f>
        <v>27.379899999999999</v>
      </c>
      <c r="I876" s="8">
        <f>CHOOSE( CONTROL!$C$32, 26.0794, 26.0778) * CHOOSE(CONTROL!$C$15, $D$11, 100%, $F$11)</f>
        <v>26.0794</v>
      </c>
      <c r="J876" s="4">
        <f>CHOOSE( CONTROL!$C$32, 25.948, 25.9464) * CHOOSE(CONTROL!$C$15, $D$11, 100%, $F$11)</f>
        <v>25.948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1.2927</v>
      </c>
      <c r="Q876" s="9">
        <v>19.688099999999999</v>
      </c>
      <c r="R876" s="9"/>
      <c r="S876" s="11"/>
    </row>
    <row r="877" spans="1:19" ht="15.75">
      <c r="A877" s="13">
        <v>67845</v>
      </c>
      <c r="B877" s="8">
        <f>CHOOSE( CONTROL!$C$32, 26.1878, 26.1862) * CHOOSE(CONTROL!$C$15, $D$11, 100%, $F$11)</f>
        <v>26.187799999999999</v>
      </c>
      <c r="C877" s="8">
        <f>CHOOSE( CONTROL!$C$32, 26.1958, 26.1942) * CHOOSE(CONTROL!$C$15, $D$11, 100%, $F$11)</f>
        <v>26.195799999999998</v>
      </c>
      <c r="D877" s="8">
        <f>CHOOSE( CONTROL!$C$32, 26.1931, 26.1914) * CHOOSE( CONTROL!$C$15, $D$11, 100%, $F$11)</f>
        <v>26.193100000000001</v>
      </c>
      <c r="E877" s="12">
        <f>CHOOSE( CONTROL!$C$32, 26.1929, 26.1912) * CHOOSE( CONTROL!$C$15, $D$11, 100%, $F$11)</f>
        <v>26.192900000000002</v>
      </c>
      <c r="F877" s="4">
        <f>CHOOSE( CONTROL!$C$32, 26.8948, 26.8931) * CHOOSE(CONTROL!$C$15, $D$11, 100%, $F$11)</f>
        <v>26.8948</v>
      </c>
      <c r="G877" s="8">
        <f>CHOOSE( CONTROL!$C$32, 25.8914, 25.8897) * CHOOSE( CONTROL!$C$15, $D$11, 100%, $F$11)</f>
        <v>25.891400000000001</v>
      </c>
      <c r="H877" s="4">
        <f>CHOOSE( CONTROL!$C$32, 26.8265, 26.8248) * CHOOSE(CONTROL!$C$15, $D$11, 100%, $F$11)</f>
        <v>26.826499999999999</v>
      </c>
      <c r="I877" s="8">
        <f>CHOOSE( CONTROL!$C$32, 25.5354, 25.5338) * CHOOSE(CONTROL!$C$15, $D$11, 100%, $F$11)</f>
        <v>25.535399999999999</v>
      </c>
      <c r="J877" s="4">
        <f>CHOOSE( CONTROL!$C$32, 25.4045, 25.4029) * CHOOSE(CONTROL!$C$15, $D$11, 100%, $F$11)</f>
        <v>25.404499999999999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1.2509999999999999</v>
      </c>
      <c r="Q877" s="9">
        <v>19.053000000000001</v>
      </c>
      <c r="R877" s="9"/>
      <c r="S877" s="11"/>
    </row>
    <row r="878" spans="1:19" ht="15.75">
      <c r="A878" s="13">
        <v>67876</v>
      </c>
      <c r="B878" s="8">
        <f>CHOOSE( CONTROL!$C$32, 27.3483, 27.3472) * CHOOSE(CONTROL!$C$15, $D$11, 100%, $F$11)</f>
        <v>27.348299999999998</v>
      </c>
      <c r="C878" s="8">
        <f>CHOOSE( CONTROL!$C$32, 27.3537, 27.3526) * CHOOSE(CONTROL!$C$15, $D$11, 100%, $F$11)</f>
        <v>27.3537</v>
      </c>
      <c r="D878" s="8">
        <f>CHOOSE( CONTROL!$C$32, 27.3566, 27.3555) * CHOOSE( CONTROL!$C$15, $D$11, 100%, $F$11)</f>
        <v>27.3566</v>
      </c>
      <c r="E878" s="12">
        <f>CHOOSE( CONTROL!$C$32, 27.3551, 27.354) * CHOOSE( CONTROL!$C$15, $D$11, 100%, $F$11)</f>
        <v>27.3551</v>
      </c>
      <c r="F878" s="4">
        <f>CHOOSE( CONTROL!$C$32, 28.057, 28.0559) * CHOOSE(CONTROL!$C$15, $D$11, 100%, $F$11)</f>
        <v>28.056999999999999</v>
      </c>
      <c r="G878" s="8">
        <f>CHOOSE( CONTROL!$C$32, 27.0401, 27.0391) * CHOOSE( CONTROL!$C$15, $D$11, 100%, $F$11)</f>
        <v>27.040099999999999</v>
      </c>
      <c r="H878" s="4">
        <f>CHOOSE( CONTROL!$C$32, 27.9751, 27.974) * CHOOSE(CONTROL!$C$15, $D$11, 100%, $F$11)</f>
        <v>27.975100000000001</v>
      </c>
      <c r="I878" s="8">
        <f>CHOOSE( CONTROL!$C$32, 26.6647, 26.6637) * CHOOSE(CONTROL!$C$15, $D$11, 100%, $F$11)</f>
        <v>26.6647</v>
      </c>
      <c r="J878" s="4">
        <f>CHOOSE( CONTROL!$C$32, 26.5324, 26.5314) * CHOOSE(CONTROL!$C$15, $D$11, 100%, $F$11)</f>
        <v>26.532399999999999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1.2927</v>
      </c>
      <c r="Q878" s="9">
        <v>19.688099999999999</v>
      </c>
      <c r="R878" s="9"/>
      <c r="S878" s="11"/>
    </row>
    <row r="879" spans="1:19" ht="15.75">
      <c r="A879" s="13">
        <v>67906</v>
      </c>
      <c r="B879" s="8">
        <f>CHOOSE( CONTROL!$C$32, 29.4942, 29.4931) * CHOOSE(CONTROL!$C$15, $D$11, 100%, $F$11)</f>
        <v>29.494199999999999</v>
      </c>
      <c r="C879" s="8">
        <f>CHOOSE( CONTROL!$C$32, 29.4993, 29.4982) * CHOOSE(CONTROL!$C$15, $D$11, 100%, $F$11)</f>
        <v>29.499300000000002</v>
      </c>
      <c r="D879" s="8">
        <f>CHOOSE( CONTROL!$C$32, 29.4814, 29.4804) * CHOOSE( CONTROL!$C$15, $D$11, 100%, $F$11)</f>
        <v>29.481400000000001</v>
      </c>
      <c r="E879" s="12">
        <f>CHOOSE( CONTROL!$C$32, 29.4874, 29.4864) * CHOOSE( CONTROL!$C$15, $D$11, 100%, $F$11)</f>
        <v>29.487400000000001</v>
      </c>
      <c r="F879" s="4">
        <f>CHOOSE( CONTROL!$C$32, 30.1595, 30.1584) * CHOOSE(CONTROL!$C$15, $D$11, 100%, $F$11)</f>
        <v>30.159500000000001</v>
      </c>
      <c r="G879" s="8">
        <f>CHOOSE( CONTROL!$C$32, 29.1604, 29.1593) * CHOOSE( CONTROL!$C$15, $D$11, 100%, $F$11)</f>
        <v>29.160399999999999</v>
      </c>
      <c r="H879" s="4">
        <f>CHOOSE( CONTROL!$C$32, 30.0529, 30.0519) * CHOOSE(CONTROL!$C$15, $D$11, 100%, $F$11)</f>
        <v>30.052900000000001</v>
      </c>
      <c r="I879" s="8">
        <f>CHOOSE( CONTROL!$C$32, 28.8105, 28.8094) * CHOOSE(CONTROL!$C$15, $D$11, 100%, $F$11)</f>
        <v>28.810500000000001</v>
      </c>
      <c r="J879" s="4">
        <f>CHOOSE( CONTROL!$C$32, 28.6154, 28.6143) * CHOOSE(CONTROL!$C$15, $D$11, 100%, $F$11)</f>
        <v>28.615400000000001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67937</v>
      </c>
      <c r="B880" s="8">
        <f>CHOOSE( CONTROL!$C$32, 29.4406, 29.4395) * CHOOSE(CONTROL!$C$15, $D$11, 100%, $F$11)</f>
        <v>29.4406</v>
      </c>
      <c r="C880" s="8">
        <f>CHOOSE( CONTROL!$C$32, 29.4456, 29.4446) * CHOOSE(CONTROL!$C$15, $D$11, 100%, $F$11)</f>
        <v>29.445599999999999</v>
      </c>
      <c r="D880" s="8">
        <f>CHOOSE( CONTROL!$C$32, 29.4293, 29.4282) * CHOOSE( CONTROL!$C$15, $D$11, 100%, $F$11)</f>
        <v>29.429300000000001</v>
      </c>
      <c r="E880" s="12">
        <f>CHOOSE( CONTROL!$C$32, 29.4347, 29.4337) * CHOOSE( CONTROL!$C$15, $D$11, 100%, $F$11)</f>
        <v>29.434699999999999</v>
      </c>
      <c r="F880" s="4">
        <f>CHOOSE( CONTROL!$C$32, 30.1059, 30.1048) * CHOOSE(CONTROL!$C$15, $D$11, 100%, $F$11)</f>
        <v>30.105899999999998</v>
      </c>
      <c r="G880" s="8">
        <f>CHOOSE( CONTROL!$C$32, 29.1084, 29.1073) * CHOOSE( CONTROL!$C$15, $D$11, 100%, $F$11)</f>
        <v>29.1084</v>
      </c>
      <c r="H880" s="4">
        <f>CHOOSE( CONTROL!$C$32, 29.9999, 29.9989) * CHOOSE(CONTROL!$C$15, $D$11, 100%, $F$11)</f>
        <v>29.9999</v>
      </c>
      <c r="I880" s="8">
        <f>CHOOSE( CONTROL!$C$32, 28.7629, 28.7618) * CHOOSE(CONTROL!$C$15, $D$11, 100%, $F$11)</f>
        <v>28.762899999999998</v>
      </c>
      <c r="J880" s="4">
        <f>CHOOSE( CONTROL!$C$32, 28.5633, 28.5623) * CHOOSE(CONTROL!$C$15, $D$11, 100%, $F$11)</f>
        <v>28.563300000000002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67968</v>
      </c>
      <c r="B881" s="8">
        <f>CHOOSE( CONTROL!$C$32, 30.3087, 30.3076) * CHOOSE(CONTROL!$C$15, $D$11, 100%, $F$11)</f>
        <v>30.308700000000002</v>
      </c>
      <c r="C881" s="8">
        <f>CHOOSE( CONTROL!$C$32, 30.3138, 30.3127) * CHOOSE(CONTROL!$C$15, $D$11, 100%, $F$11)</f>
        <v>30.313800000000001</v>
      </c>
      <c r="D881" s="8">
        <f>CHOOSE( CONTROL!$C$32, 30.2925, 30.2914) * CHOOSE( CONTROL!$C$15, $D$11, 100%, $F$11)</f>
        <v>30.2925</v>
      </c>
      <c r="E881" s="12">
        <f>CHOOSE( CONTROL!$C$32, 30.2997, 30.2986) * CHOOSE( CONTROL!$C$15, $D$11, 100%, $F$11)</f>
        <v>30.299700000000001</v>
      </c>
      <c r="F881" s="4">
        <f>CHOOSE( CONTROL!$C$32, 30.974, 30.9729) * CHOOSE(CONTROL!$C$15, $D$11, 100%, $F$11)</f>
        <v>30.974</v>
      </c>
      <c r="G881" s="8">
        <f>CHOOSE( CONTROL!$C$32, 29.9559, 29.9548) * CHOOSE( CONTROL!$C$15, $D$11, 100%, $F$11)</f>
        <v>29.9559</v>
      </c>
      <c r="H881" s="4">
        <f>CHOOSE( CONTROL!$C$32, 30.8579, 30.8568) * CHOOSE(CONTROL!$C$15, $D$11, 100%, $F$11)</f>
        <v>30.857900000000001</v>
      </c>
      <c r="I881" s="8">
        <f>CHOOSE( CONTROL!$C$32, 29.5679, 29.5668) * CHOOSE(CONTROL!$C$15, $D$11, 100%, $F$11)</f>
        <v>29.567900000000002</v>
      </c>
      <c r="J881" s="4">
        <f>CHOOSE( CONTROL!$C$32, 29.4058, 29.4048) * CHOOSE(CONTROL!$C$15, $D$11, 100%, $F$11)</f>
        <v>29.405799999999999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67996</v>
      </c>
      <c r="B882" s="8">
        <f>CHOOSE( CONTROL!$C$32, 28.3499, 28.3488) * CHOOSE(CONTROL!$C$15, $D$11, 100%, $F$11)</f>
        <v>28.349900000000002</v>
      </c>
      <c r="C882" s="8">
        <f>CHOOSE( CONTROL!$C$32, 28.355, 28.3539) * CHOOSE(CONTROL!$C$15, $D$11, 100%, $F$11)</f>
        <v>28.355</v>
      </c>
      <c r="D882" s="8">
        <f>CHOOSE( CONTROL!$C$32, 28.3336, 28.3325) * CHOOSE( CONTROL!$C$15, $D$11, 100%, $F$11)</f>
        <v>28.333600000000001</v>
      </c>
      <c r="E882" s="12">
        <f>CHOOSE( CONTROL!$C$32, 28.3409, 28.3398) * CHOOSE( CONTROL!$C$15, $D$11, 100%, $F$11)</f>
        <v>28.340900000000001</v>
      </c>
      <c r="F882" s="4">
        <f>CHOOSE( CONTROL!$C$32, 29.0152, 29.0141) * CHOOSE(CONTROL!$C$15, $D$11, 100%, $F$11)</f>
        <v>29.0152</v>
      </c>
      <c r="G882" s="8">
        <f>CHOOSE( CONTROL!$C$32, 28.0199, 28.0189) * CHOOSE( CONTROL!$C$15, $D$11, 100%, $F$11)</f>
        <v>28.0199</v>
      </c>
      <c r="H882" s="4">
        <f>CHOOSE( CONTROL!$C$32, 28.9221, 28.921) * CHOOSE(CONTROL!$C$15, $D$11, 100%, $F$11)</f>
        <v>28.9221</v>
      </c>
      <c r="I882" s="8">
        <f>CHOOSE( CONTROL!$C$32, 27.6655, 27.6645) * CHOOSE(CONTROL!$C$15, $D$11, 100%, $F$11)</f>
        <v>27.665500000000002</v>
      </c>
      <c r="J882" s="4">
        <f>CHOOSE( CONTROL!$C$32, 27.5048, 27.5038) * CHOOSE(CONTROL!$C$15, $D$11, 100%, $F$11)</f>
        <v>27.504799999999999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68027</v>
      </c>
      <c r="B883" s="8">
        <f>CHOOSE( CONTROL!$C$32, 27.7466, 27.7456) * CHOOSE(CONTROL!$C$15, $D$11, 100%, $F$11)</f>
        <v>27.746600000000001</v>
      </c>
      <c r="C883" s="8">
        <f>CHOOSE( CONTROL!$C$32, 27.7517, 27.7506) * CHOOSE(CONTROL!$C$15, $D$11, 100%, $F$11)</f>
        <v>27.7517</v>
      </c>
      <c r="D883" s="8">
        <f>CHOOSE( CONTROL!$C$32, 27.7297, 27.7286) * CHOOSE( CONTROL!$C$15, $D$11, 100%, $F$11)</f>
        <v>27.729700000000001</v>
      </c>
      <c r="E883" s="12">
        <f>CHOOSE( CONTROL!$C$32, 27.7372, 27.7361) * CHOOSE( CONTROL!$C$15, $D$11, 100%, $F$11)</f>
        <v>27.737200000000001</v>
      </c>
      <c r="F883" s="4">
        <f>CHOOSE( CONTROL!$C$32, 28.4119, 28.4108) * CHOOSE(CONTROL!$C$15, $D$11, 100%, $F$11)</f>
        <v>28.411899999999999</v>
      </c>
      <c r="G883" s="8">
        <f>CHOOSE( CONTROL!$C$32, 27.4233, 27.4222) * CHOOSE( CONTROL!$C$15, $D$11, 100%, $F$11)</f>
        <v>27.423300000000001</v>
      </c>
      <c r="H883" s="4">
        <f>CHOOSE( CONTROL!$C$32, 28.3258, 28.3248) * CHOOSE(CONTROL!$C$15, $D$11, 100%, $F$11)</f>
        <v>28.325800000000001</v>
      </c>
      <c r="I883" s="8">
        <f>CHOOSE( CONTROL!$C$32, 27.0778, 27.0767) * CHOOSE(CONTROL!$C$15, $D$11, 100%, $F$11)</f>
        <v>27.0778</v>
      </c>
      <c r="J883" s="4">
        <f>CHOOSE( CONTROL!$C$32, 26.9194, 26.9183) * CHOOSE(CONTROL!$C$15, $D$11, 100%, $F$11)</f>
        <v>26.9194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68057</v>
      </c>
      <c r="B884" s="8">
        <f>CHOOSE( CONTROL!$C$32, 28.169, 28.1679) * CHOOSE(CONTROL!$C$15, $D$11, 100%, $F$11)</f>
        <v>28.169</v>
      </c>
      <c r="C884" s="8">
        <f>CHOOSE( CONTROL!$C$32, 28.1735, 28.1724) * CHOOSE(CONTROL!$C$15, $D$11, 100%, $F$11)</f>
        <v>28.173500000000001</v>
      </c>
      <c r="D884" s="8">
        <f>CHOOSE( CONTROL!$C$32, 28.1763, 28.1752) * CHOOSE( CONTROL!$C$15, $D$11, 100%, $F$11)</f>
        <v>28.176300000000001</v>
      </c>
      <c r="E884" s="12">
        <f>CHOOSE( CONTROL!$C$32, 28.1749, 28.1738) * CHOOSE( CONTROL!$C$15, $D$11, 100%, $F$11)</f>
        <v>28.174900000000001</v>
      </c>
      <c r="F884" s="4">
        <f>CHOOSE( CONTROL!$C$32, 28.8773, 28.8762) * CHOOSE(CONTROL!$C$15, $D$11, 100%, $F$11)</f>
        <v>28.877300000000002</v>
      </c>
      <c r="G884" s="8">
        <f>CHOOSE( CONTROL!$C$32, 27.8504, 27.8493) * CHOOSE( CONTROL!$C$15, $D$11, 100%, $F$11)</f>
        <v>27.8504</v>
      </c>
      <c r="H884" s="4">
        <f>CHOOSE( CONTROL!$C$32, 28.7857, 28.7847) * CHOOSE(CONTROL!$C$15, $D$11, 100%, $F$11)</f>
        <v>28.785699999999999</v>
      </c>
      <c r="I884" s="8">
        <f>CHOOSE( CONTROL!$C$32, 27.4594, 27.4583) * CHOOSE(CONTROL!$C$15, $D$11, 100%, $F$11)</f>
        <v>27.459399999999999</v>
      </c>
      <c r="J884" s="4">
        <f>CHOOSE( CONTROL!$C$32, 27.3285, 27.3274) * CHOOSE(CONTROL!$C$15, $D$11, 100%, $F$11)</f>
        <v>27.328499999999998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1.2509999999999999</v>
      </c>
      <c r="Q884" s="9">
        <v>19.053000000000001</v>
      </c>
      <c r="R884" s="9"/>
      <c r="S884" s="11"/>
    </row>
    <row r="885" spans="1:19" ht="15.75">
      <c r="A885" s="13">
        <v>68088</v>
      </c>
      <c r="B885" s="8">
        <f>CHOOSE( CONTROL!$C$32, 28.9212, 28.9195) * CHOOSE(CONTROL!$C$15, $D$11, 100%, $F$11)</f>
        <v>28.921199999999999</v>
      </c>
      <c r="C885" s="8">
        <f>CHOOSE( CONTROL!$C$32, 28.9292, 28.9275) * CHOOSE(CONTROL!$C$15, $D$11, 100%, $F$11)</f>
        <v>28.929200000000002</v>
      </c>
      <c r="D885" s="8">
        <f>CHOOSE( CONTROL!$C$32, 28.9259, 28.9243) * CHOOSE( CONTROL!$C$15, $D$11, 100%, $F$11)</f>
        <v>28.925899999999999</v>
      </c>
      <c r="E885" s="12">
        <f>CHOOSE( CONTROL!$C$32, 28.9259, 28.9242) * CHOOSE( CONTROL!$C$15, $D$11, 100%, $F$11)</f>
        <v>28.925899999999999</v>
      </c>
      <c r="F885" s="4">
        <f>CHOOSE( CONTROL!$C$32, 29.6281, 29.6265) * CHOOSE(CONTROL!$C$15, $D$11, 100%, $F$11)</f>
        <v>29.6281</v>
      </c>
      <c r="G885" s="8">
        <f>CHOOSE( CONTROL!$C$32, 28.5923, 28.5907) * CHOOSE( CONTROL!$C$15, $D$11, 100%, $F$11)</f>
        <v>28.592300000000002</v>
      </c>
      <c r="H885" s="4">
        <f>CHOOSE( CONTROL!$C$32, 29.5278, 29.5262) * CHOOSE(CONTROL!$C$15, $D$11, 100%, $F$11)</f>
        <v>29.527799999999999</v>
      </c>
      <c r="I885" s="8">
        <f>CHOOSE( CONTROL!$C$32, 28.1877, 28.1861) * CHOOSE(CONTROL!$C$15, $D$11, 100%, $F$11)</f>
        <v>28.1877</v>
      </c>
      <c r="J885" s="4">
        <f>CHOOSE( CONTROL!$C$32, 28.0572, 28.0556) * CHOOSE(CONTROL!$C$15, $D$11, 100%, $F$11)</f>
        <v>28.057200000000002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1.2927</v>
      </c>
      <c r="Q885" s="9">
        <v>19.688099999999999</v>
      </c>
      <c r="R885" s="9"/>
      <c r="S885" s="11"/>
    </row>
    <row r="886" spans="1:19" ht="15.75">
      <c r="A886" s="13">
        <v>68118</v>
      </c>
      <c r="B886" s="8">
        <f>CHOOSE( CONTROL!$C$32, 28.4564, 28.4548) * CHOOSE(CONTROL!$C$15, $D$11, 100%, $F$11)</f>
        <v>28.456399999999999</v>
      </c>
      <c r="C886" s="8">
        <f>CHOOSE( CONTROL!$C$32, 28.4644, 28.4627) * CHOOSE(CONTROL!$C$15, $D$11, 100%, $F$11)</f>
        <v>28.464400000000001</v>
      </c>
      <c r="D886" s="8">
        <f>CHOOSE( CONTROL!$C$32, 28.4614, 28.4597) * CHOOSE( CONTROL!$C$15, $D$11, 100%, $F$11)</f>
        <v>28.461400000000001</v>
      </c>
      <c r="E886" s="12">
        <f>CHOOSE( CONTROL!$C$32, 28.4613, 28.4596) * CHOOSE( CONTROL!$C$15, $D$11, 100%, $F$11)</f>
        <v>28.461300000000001</v>
      </c>
      <c r="F886" s="4">
        <f>CHOOSE( CONTROL!$C$32, 29.1634, 29.1617) * CHOOSE(CONTROL!$C$15, $D$11, 100%, $F$11)</f>
        <v>29.163399999999999</v>
      </c>
      <c r="G886" s="8">
        <f>CHOOSE( CONTROL!$C$32, 28.1331, 28.1315) * CHOOSE( CONTROL!$C$15, $D$11, 100%, $F$11)</f>
        <v>28.133099999999999</v>
      </c>
      <c r="H886" s="4">
        <f>CHOOSE( CONTROL!$C$32, 29.0685, 29.0668) * CHOOSE(CONTROL!$C$15, $D$11, 100%, $F$11)</f>
        <v>29.0685</v>
      </c>
      <c r="I886" s="8">
        <f>CHOOSE( CONTROL!$C$32, 27.7372, 27.7356) * CHOOSE(CONTROL!$C$15, $D$11, 100%, $F$11)</f>
        <v>27.737200000000001</v>
      </c>
      <c r="J886" s="4">
        <f>CHOOSE( CONTROL!$C$32, 27.6061, 27.6045) * CHOOSE(CONTROL!$C$15, $D$11, 100%, $F$11)</f>
        <v>27.606100000000001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1.2509999999999999</v>
      </c>
      <c r="Q886" s="9">
        <v>19.053000000000001</v>
      </c>
      <c r="R886" s="9"/>
      <c r="S886" s="11"/>
    </row>
    <row r="887" spans="1:19" ht="15.75">
      <c r="A887" s="13">
        <v>68149</v>
      </c>
      <c r="B887" s="8">
        <f>CHOOSE( CONTROL!$C$32, 29.6804, 29.6787) * CHOOSE(CONTROL!$C$15, $D$11, 100%, $F$11)</f>
        <v>29.680399999999999</v>
      </c>
      <c r="C887" s="8">
        <f>CHOOSE( CONTROL!$C$32, 29.6883, 29.6867) * CHOOSE(CONTROL!$C$15, $D$11, 100%, $F$11)</f>
        <v>29.688300000000002</v>
      </c>
      <c r="D887" s="8">
        <f>CHOOSE( CONTROL!$C$32, 29.6855, 29.6839) * CHOOSE( CONTROL!$C$15, $D$11, 100%, $F$11)</f>
        <v>29.685500000000001</v>
      </c>
      <c r="E887" s="12">
        <f>CHOOSE( CONTROL!$C$32, 29.6853, 29.6837) * CHOOSE( CONTROL!$C$15, $D$11, 100%, $F$11)</f>
        <v>29.685300000000002</v>
      </c>
      <c r="F887" s="4">
        <f>CHOOSE( CONTROL!$C$32, 30.3873, 30.3856) * CHOOSE(CONTROL!$C$15, $D$11, 100%, $F$11)</f>
        <v>30.3873</v>
      </c>
      <c r="G887" s="8">
        <f>CHOOSE( CONTROL!$C$32, 29.3429, 29.3413) * CHOOSE( CONTROL!$C$15, $D$11, 100%, $F$11)</f>
        <v>29.3429</v>
      </c>
      <c r="H887" s="4">
        <f>CHOOSE( CONTROL!$C$32, 30.2781, 30.2764) * CHOOSE(CONTROL!$C$15, $D$11, 100%, $F$11)</f>
        <v>30.278099999999998</v>
      </c>
      <c r="I887" s="8">
        <f>CHOOSE( CONTROL!$C$32, 28.9265, 28.9248) * CHOOSE(CONTROL!$C$15, $D$11, 100%, $F$11)</f>
        <v>28.926500000000001</v>
      </c>
      <c r="J887" s="4">
        <f>CHOOSE( CONTROL!$C$32, 28.794, 28.7924) * CHOOSE(CONTROL!$C$15, $D$11, 100%, $F$11)</f>
        <v>28.794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1.2927</v>
      </c>
      <c r="Q887" s="9">
        <v>19.688099999999999</v>
      </c>
      <c r="R887" s="9"/>
      <c r="S887" s="11"/>
    </row>
    <row r="888" spans="1:19" ht="15.75">
      <c r="A888" s="13">
        <v>68180</v>
      </c>
      <c r="B888" s="8">
        <f>CHOOSE( CONTROL!$C$32, 27.3902, 27.3886) * CHOOSE(CONTROL!$C$15, $D$11, 100%, $F$11)</f>
        <v>27.3902</v>
      </c>
      <c r="C888" s="8">
        <f>CHOOSE( CONTROL!$C$32, 27.3982, 27.3966) * CHOOSE(CONTROL!$C$15, $D$11, 100%, $F$11)</f>
        <v>27.398199999999999</v>
      </c>
      <c r="D888" s="8">
        <f>CHOOSE( CONTROL!$C$32, 27.3955, 27.3939) * CHOOSE( CONTROL!$C$15, $D$11, 100%, $F$11)</f>
        <v>27.395499999999998</v>
      </c>
      <c r="E888" s="12">
        <f>CHOOSE( CONTROL!$C$32, 27.3953, 27.3937) * CHOOSE( CONTROL!$C$15, $D$11, 100%, $F$11)</f>
        <v>27.395299999999999</v>
      </c>
      <c r="F888" s="4">
        <f>CHOOSE( CONTROL!$C$32, 28.0972, 28.0955) * CHOOSE(CONTROL!$C$15, $D$11, 100%, $F$11)</f>
        <v>28.097200000000001</v>
      </c>
      <c r="G888" s="8">
        <f>CHOOSE( CONTROL!$C$32, 27.0797, 27.0781) * CHOOSE( CONTROL!$C$15, $D$11, 100%, $F$11)</f>
        <v>27.079699999999999</v>
      </c>
      <c r="H888" s="4">
        <f>CHOOSE( CONTROL!$C$32, 28.0148, 28.0131) * CHOOSE(CONTROL!$C$15, $D$11, 100%, $F$11)</f>
        <v>28.014800000000001</v>
      </c>
      <c r="I888" s="8">
        <f>CHOOSE( CONTROL!$C$32, 26.7031, 26.7015) * CHOOSE(CONTROL!$C$15, $D$11, 100%, $F$11)</f>
        <v>26.703099999999999</v>
      </c>
      <c r="J888" s="4">
        <f>CHOOSE( CONTROL!$C$32, 26.5714, 26.5698) * CHOOSE(CONTROL!$C$15, $D$11, 100%, $F$11)</f>
        <v>26.571400000000001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1.2927</v>
      </c>
      <c r="Q888" s="9">
        <v>19.688099999999999</v>
      </c>
      <c r="R888" s="9"/>
      <c r="S888" s="11"/>
    </row>
    <row r="889" spans="1:19" ht="15.75">
      <c r="A889" s="13">
        <v>68210</v>
      </c>
      <c r="B889" s="8">
        <f>CHOOSE( CONTROL!$C$32, 26.8168, 26.8151) * CHOOSE(CONTROL!$C$15, $D$11, 100%, $F$11)</f>
        <v>26.816800000000001</v>
      </c>
      <c r="C889" s="8">
        <f>CHOOSE( CONTROL!$C$32, 26.8247, 26.8231) * CHOOSE(CONTROL!$C$15, $D$11, 100%, $F$11)</f>
        <v>26.8247</v>
      </c>
      <c r="D889" s="8">
        <f>CHOOSE( CONTROL!$C$32, 26.822, 26.8203) * CHOOSE( CONTROL!$C$15, $D$11, 100%, $F$11)</f>
        <v>26.821999999999999</v>
      </c>
      <c r="E889" s="12">
        <f>CHOOSE( CONTROL!$C$32, 26.8218, 26.8201) * CHOOSE( CONTROL!$C$15, $D$11, 100%, $F$11)</f>
        <v>26.8218</v>
      </c>
      <c r="F889" s="4">
        <f>CHOOSE( CONTROL!$C$32, 27.5237, 27.522) * CHOOSE(CONTROL!$C$15, $D$11, 100%, $F$11)</f>
        <v>27.523700000000002</v>
      </c>
      <c r="G889" s="8">
        <f>CHOOSE( CONTROL!$C$32, 26.5129, 26.5113) * CHOOSE( CONTROL!$C$15, $D$11, 100%, $F$11)</f>
        <v>26.512899999999998</v>
      </c>
      <c r="H889" s="4">
        <f>CHOOSE( CONTROL!$C$32, 27.448, 27.4464) * CHOOSE(CONTROL!$C$15, $D$11, 100%, $F$11)</f>
        <v>27.448</v>
      </c>
      <c r="I889" s="8">
        <f>CHOOSE( CONTROL!$C$32, 26.1461, 26.1445) * CHOOSE(CONTROL!$C$15, $D$11, 100%, $F$11)</f>
        <v>26.146100000000001</v>
      </c>
      <c r="J889" s="4">
        <f>CHOOSE( CONTROL!$C$32, 26.0148, 26.0132) * CHOOSE(CONTROL!$C$15, $D$11, 100%, $F$11)</f>
        <v>26.014800000000001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1.2509999999999999</v>
      </c>
      <c r="Q889" s="9">
        <v>19.053000000000001</v>
      </c>
      <c r="R889" s="9"/>
      <c r="S889" s="11"/>
    </row>
    <row r="890" spans="1:19" ht="15.75">
      <c r="A890" s="13">
        <v>68241</v>
      </c>
      <c r="B890" s="8">
        <f>CHOOSE( CONTROL!$C$32, 28.0052, 28.0041) * CHOOSE(CONTROL!$C$15, $D$11, 100%, $F$11)</f>
        <v>28.005199999999999</v>
      </c>
      <c r="C890" s="8">
        <f>CHOOSE( CONTROL!$C$32, 28.0105, 28.0094) * CHOOSE(CONTROL!$C$15, $D$11, 100%, $F$11)</f>
        <v>28.0105</v>
      </c>
      <c r="D890" s="8">
        <f>CHOOSE( CONTROL!$C$32, 28.0134, 28.0123) * CHOOSE( CONTROL!$C$15, $D$11, 100%, $F$11)</f>
        <v>28.013400000000001</v>
      </c>
      <c r="E890" s="12">
        <f>CHOOSE( CONTROL!$C$32, 28.0119, 28.0108) * CHOOSE( CONTROL!$C$15, $D$11, 100%, $F$11)</f>
        <v>28.011900000000001</v>
      </c>
      <c r="F890" s="4">
        <f>CHOOSE( CONTROL!$C$32, 28.7139, 28.7128) * CHOOSE(CONTROL!$C$15, $D$11, 100%, $F$11)</f>
        <v>28.713899999999999</v>
      </c>
      <c r="G890" s="8">
        <f>CHOOSE( CONTROL!$C$32, 27.6893, 27.6882) * CHOOSE( CONTROL!$C$15, $D$11, 100%, $F$11)</f>
        <v>27.689299999999999</v>
      </c>
      <c r="H890" s="4">
        <f>CHOOSE( CONTROL!$C$32, 28.6242, 28.6232) * CHOOSE(CONTROL!$C$15, $D$11, 100%, $F$11)</f>
        <v>28.624199999999998</v>
      </c>
      <c r="I890" s="8">
        <f>CHOOSE( CONTROL!$C$32, 27.3025, 27.3015) * CHOOSE(CONTROL!$C$15, $D$11, 100%, $F$11)</f>
        <v>27.302499999999998</v>
      </c>
      <c r="J890" s="4">
        <f>CHOOSE( CONTROL!$C$32, 27.1699, 27.1688) * CHOOSE(CONTROL!$C$15, $D$11, 100%, $F$11)</f>
        <v>27.169899999999998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1.2927</v>
      </c>
      <c r="Q890" s="9">
        <v>19.688099999999999</v>
      </c>
      <c r="R890" s="9"/>
      <c r="S890" s="11"/>
    </row>
    <row r="891" spans="1:19" ht="15.75">
      <c r="A891" s="13">
        <v>68271</v>
      </c>
      <c r="B891" s="8">
        <f>CHOOSE( CONTROL!$C$32, 30.2026, 30.2015) * CHOOSE(CONTROL!$C$15, $D$11, 100%, $F$11)</f>
        <v>30.2026</v>
      </c>
      <c r="C891" s="8">
        <f>CHOOSE( CONTROL!$C$32, 30.2077, 30.2066) * CHOOSE(CONTROL!$C$15, $D$11, 100%, $F$11)</f>
        <v>30.207699999999999</v>
      </c>
      <c r="D891" s="8">
        <f>CHOOSE( CONTROL!$C$32, 30.1899, 30.1888) * CHOOSE( CONTROL!$C$15, $D$11, 100%, $F$11)</f>
        <v>30.189900000000002</v>
      </c>
      <c r="E891" s="12">
        <f>CHOOSE( CONTROL!$C$32, 30.1959, 30.1948) * CHOOSE( CONTROL!$C$15, $D$11, 100%, $F$11)</f>
        <v>30.195900000000002</v>
      </c>
      <c r="F891" s="4">
        <f>CHOOSE( CONTROL!$C$32, 30.8679, 30.8668) * CHOOSE(CONTROL!$C$15, $D$11, 100%, $F$11)</f>
        <v>30.867899999999999</v>
      </c>
      <c r="G891" s="8">
        <f>CHOOSE( CONTROL!$C$32, 29.8605, 29.8594) * CHOOSE( CONTROL!$C$15, $D$11, 100%, $F$11)</f>
        <v>29.860499999999998</v>
      </c>
      <c r="H891" s="4">
        <f>CHOOSE( CONTROL!$C$32, 30.7531, 30.752) * CHOOSE(CONTROL!$C$15, $D$11, 100%, $F$11)</f>
        <v>30.7531</v>
      </c>
      <c r="I891" s="8">
        <f>CHOOSE( CONTROL!$C$32, 29.4984, 29.4973) * CHOOSE(CONTROL!$C$15, $D$11, 100%, $F$11)</f>
        <v>29.4984</v>
      </c>
      <c r="J891" s="4">
        <f>CHOOSE( CONTROL!$C$32, 29.3029, 29.3018) * CHOOSE(CONTROL!$C$15, $D$11, 100%, $F$11)</f>
        <v>29.302900000000001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68302</v>
      </c>
      <c r="B892" s="8">
        <f>CHOOSE( CONTROL!$C$32, 30.1477, 30.1466) * CHOOSE(CONTROL!$C$15, $D$11, 100%, $F$11)</f>
        <v>30.1477</v>
      </c>
      <c r="C892" s="8">
        <f>CHOOSE( CONTROL!$C$32, 30.1528, 30.1517) * CHOOSE(CONTROL!$C$15, $D$11, 100%, $F$11)</f>
        <v>30.152799999999999</v>
      </c>
      <c r="D892" s="8">
        <f>CHOOSE( CONTROL!$C$32, 30.1364, 30.1353) * CHOOSE( CONTROL!$C$15, $D$11, 100%, $F$11)</f>
        <v>30.136399999999998</v>
      </c>
      <c r="E892" s="12">
        <f>CHOOSE( CONTROL!$C$32, 30.1419, 30.1408) * CHOOSE( CONTROL!$C$15, $D$11, 100%, $F$11)</f>
        <v>30.1419</v>
      </c>
      <c r="F892" s="4">
        <f>CHOOSE( CONTROL!$C$32, 30.813, 30.8119) * CHOOSE(CONTROL!$C$15, $D$11, 100%, $F$11)</f>
        <v>30.812999999999999</v>
      </c>
      <c r="G892" s="8">
        <f>CHOOSE( CONTROL!$C$32, 29.8073, 29.8062) * CHOOSE( CONTROL!$C$15, $D$11, 100%, $F$11)</f>
        <v>29.807300000000001</v>
      </c>
      <c r="H892" s="4">
        <f>CHOOSE( CONTROL!$C$32, 30.6988, 30.6977) * CHOOSE(CONTROL!$C$15, $D$11, 100%, $F$11)</f>
        <v>30.698799999999999</v>
      </c>
      <c r="I892" s="8">
        <f>CHOOSE( CONTROL!$C$32, 29.4495, 29.4485) * CHOOSE(CONTROL!$C$15, $D$11, 100%, $F$11)</f>
        <v>29.4495</v>
      </c>
      <c r="J892" s="4">
        <f>CHOOSE( CONTROL!$C$32, 29.2496, 29.2485) * CHOOSE(CONTROL!$C$15, $D$11, 100%, $F$11)</f>
        <v>29.249600000000001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68333</v>
      </c>
      <c r="B893" s="8">
        <f>CHOOSE( CONTROL!$C$32, 31.0367, 31.0356) * CHOOSE(CONTROL!$C$15, $D$11, 100%, $F$11)</f>
        <v>31.0367</v>
      </c>
      <c r="C893" s="8">
        <f>CHOOSE( CONTROL!$C$32, 31.0417, 31.0407) * CHOOSE(CONTROL!$C$15, $D$11, 100%, $F$11)</f>
        <v>31.041699999999999</v>
      </c>
      <c r="D893" s="8">
        <f>CHOOSE( CONTROL!$C$32, 31.0205, 31.0194) * CHOOSE( CONTROL!$C$15, $D$11, 100%, $F$11)</f>
        <v>31.020499999999998</v>
      </c>
      <c r="E893" s="12">
        <f>CHOOSE( CONTROL!$C$32, 31.0277, 31.0266) * CHOOSE( CONTROL!$C$15, $D$11, 100%, $F$11)</f>
        <v>31.027699999999999</v>
      </c>
      <c r="F893" s="4">
        <f>CHOOSE( CONTROL!$C$32, 31.702, 31.7009) * CHOOSE(CONTROL!$C$15, $D$11, 100%, $F$11)</f>
        <v>31.702000000000002</v>
      </c>
      <c r="G893" s="8">
        <f>CHOOSE( CONTROL!$C$32, 30.6753, 30.6743) * CHOOSE( CONTROL!$C$15, $D$11, 100%, $F$11)</f>
        <v>30.6753</v>
      </c>
      <c r="H893" s="4">
        <f>CHOOSE( CONTROL!$C$32, 31.5773, 31.5763) * CHOOSE(CONTROL!$C$15, $D$11, 100%, $F$11)</f>
        <v>31.577300000000001</v>
      </c>
      <c r="I893" s="8">
        <f>CHOOSE( CONTROL!$C$32, 30.2747, 30.2737) * CHOOSE(CONTROL!$C$15, $D$11, 100%, $F$11)</f>
        <v>30.274699999999999</v>
      </c>
      <c r="J893" s="4">
        <f>CHOOSE( CONTROL!$C$32, 30.1123, 30.1113) * CHOOSE(CONTROL!$C$15, $D$11, 100%, $F$11)</f>
        <v>30.112300000000001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68361</v>
      </c>
      <c r="B894" s="8">
        <f>CHOOSE( CONTROL!$C$32, 29.0309, 29.0298) * CHOOSE(CONTROL!$C$15, $D$11, 100%, $F$11)</f>
        <v>29.030899999999999</v>
      </c>
      <c r="C894" s="8">
        <f>CHOOSE( CONTROL!$C$32, 29.0359, 29.0348) * CHOOSE(CONTROL!$C$15, $D$11, 100%, $F$11)</f>
        <v>29.035900000000002</v>
      </c>
      <c r="D894" s="8">
        <f>CHOOSE( CONTROL!$C$32, 29.0145, 29.0134) * CHOOSE( CONTROL!$C$15, $D$11, 100%, $F$11)</f>
        <v>29.014500000000002</v>
      </c>
      <c r="E894" s="12">
        <f>CHOOSE( CONTROL!$C$32, 29.0218, 29.0207) * CHOOSE( CONTROL!$C$15, $D$11, 100%, $F$11)</f>
        <v>29.021799999999999</v>
      </c>
      <c r="F894" s="4">
        <f>CHOOSE( CONTROL!$C$32, 29.6961, 29.6951) * CHOOSE(CONTROL!$C$15, $D$11, 100%, $F$11)</f>
        <v>29.696100000000001</v>
      </c>
      <c r="G894" s="8">
        <f>CHOOSE( CONTROL!$C$32, 28.6929, 28.6918) * CHOOSE( CONTROL!$C$15, $D$11, 100%, $F$11)</f>
        <v>28.692900000000002</v>
      </c>
      <c r="H894" s="4">
        <f>CHOOSE( CONTROL!$C$32, 29.595, 29.5939) * CHOOSE(CONTROL!$C$15, $D$11, 100%, $F$11)</f>
        <v>29.594999999999999</v>
      </c>
      <c r="I894" s="8">
        <f>CHOOSE( CONTROL!$C$32, 28.3267, 28.3257) * CHOOSE(CONTROL!$C$15, $D$11, 100%, $F$11)</f>
        <v>28.326699999999999</v>
      </c>
      <c r="J894" s="4">
        <f>CHOOSE( CONTROL!$C$32, 28.1657, 28.1646) * CHOOSE(CONTROL!$C$15, $D$11, 100%, $F$11)</f>
        <v>28.165700000000001</v>
      </c>
      <c r="K894" s="4"/>
      <c r="L894" s="9">
        <v>26.469899999999999</v>
      </c>
      <c r="M894" s="9">
        <v>10.8962</v>
      </c>
      <c r="N894" s="9">
        <v>4.4660000000000002</v>
      </c>
      <c r="O894" s="9">
        <v>0.33789999999999998</v>
      </c>
      <c r="P894" s="9">
        <v>1.1676</v>
      </c>
      <c r="Q894" s="9">
        <v>17.782800000000002</v>
      </c>
      <c r="R894" s="9"/>
      <c r="S894" s="11"/>
    </row>
    <row r="895" spans="1:19" ht="15.75">
      <c r="A895" s="13">
        <v>68392</v>
      </c>
      <c r="B895" s="8">
        <f>CHOOSE( CONTROL!$C$32, 28.4131, 28.412) * CHOOSE(CONTROL!$C$15, $D$11, 100%, $F$11)</f>
        <v>28.4131</v>
      </c>
      <c r="C895" s="8">
        <f>CHOOSE( CONTROL!$C$32, 28.4181, 28.4171) * CHOOSE(CONTROL!$C$15, $D$11, 100%, $F$11)</f>
        <v>28.418099999999999</v>
      </c>
      <c r="D895" s="8">
        <f>CHOOSE( CONTROL!$C$32, 28.3961, 28.395) * CHOOSE( CONTROL!$C$15, $D$11, 100%, $F$11)</f>
        <v>28.396100000000001</v>
      </c>
      <c r="E895" s="12">
        <f>CHOOSE( CONTROL!$C$32, 28.4036, 28.4025) * CHOOSE( CONTROL!$C$15, $D$11, 100%, $F$11)</f>
        <v>28.403600000000001</v>
      </c>
      <c r="F895" s="4">
        <f>CHOOSE( CONTROL!$C$32, 29.0784, 29.0773) * CHOOSE(CONTROL!$C$15, $D$11, 100%, $F$11)</f>
        <v>29.078399999999998</v>
      </c>
      <c r="G895" s="8">
        <f>CHOOSE( CONTROL!$C$32, 28.0819, 28.0808) * CHOOSE( CONTROL!$C$15, $D$11, 100%, $F$11)</f>
        <v>28.081900000000001</v>
      </c>
      <c r="H895" s="4">
        <f>CHOOSE( CONTROL!$C$32, 28.9845, 28.9834) * CHOOSE(CONTROL!$C$15, $D$11, 100%, $F$11)</f>
        <v>28.984500000000001</v>
      </c>
      <c r="I895" s="8">
        <f>CHOOSE( CONTROL!$C$32, 27.7249, 27.7238) * CHOOSE(CONTROL!$C$15, $D$11, 100%, $F$11)</f>
        <v>27.724900000000002</v>
      </c>
      <c r="J895" s="4">
        <f>CHOOSE( CONTROL!$C$32, 27.5661, 27.5651) * CHOOSE(CONTROL!$C$15, $D$11, 100%, $F$11)</f>
        <v>27.566099999999999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68422</v>
      </c>
      <c r="B896" s="8">
        <f>CHOOSE( CONTROL!$C$32, 28.8455, 28.8444) * CHOOSE(CONTROL!$C$15, $D$11, 100%, $F$11)</f>
        <v>28.845500000000001</v>
      </c>
      <c r="C896" s="8">
        <f>CHOOSE( CONTROL!$C$32, 28.85, 28.849) * CHOOSE(CONTROL!$C$15, $D$11, 100%, $F$11)</f>
        <v>28.85</v>
      </c>
      <c r="D896" s="8">
        <f>CHOOSE( CONTROL!$C$32, 28.8529, 28.8518) * CHOOSE( CONTROL!$C$15, $D$11, 100%, $F$11)</f>
        <v>28.852900000000002</v>
      </c>
      <c r="E896" s="12">
        <f>CHOOSE( CONTROL!$C$32, 28.8514, 28.8504) * CHOOSE( CONTROL!$C$15, $D$11, 100%, $F$11)</f>
        <v>28.851400000000002</v>
      </c>
      <c r="F896" s="4">
        <f>CHOOSE( CONTROL!$C$32, 29.5538, 29.5528) * CHOOSE(CONTROL!$C$15, $D$11, 100%, $F$11)</f>
        <v>29.553799999999999</v>
      </c>
      <c r="G896" s="8">
        <f>CHOOSE( CONTROL!$C$32, 28.519, 28.5179) * CHOOSE( CONTROL!$C$15, $D$11, 100%, $F$11)</f>
        <v>28.518999999999998</v>
      </c>
      <c r="H896" s="4">
        <f>CHOOSE( CONTROL!$C$32, 29.4544, 29.4533) * CHOOSE(CONTROL!$C$15, $D$11, 100%, $F$11)</f>
        <v>29.4544</v>
      </c>
      <c r="I896" s="8">
        <f>CHOOSE( CONTROL!$C$32, 28.1163, 28.1152) * CHOOSE(CONTROL!$C$15, $D$11, 100%, $F$11)</f>
        <v>28.116299999999999</v>
      </c>
      <c r="J896" s="4">
        <f>CHOOSE( CONTROL!$C$32, 27.9851, 27.984) * CHOOSE(CONTROL!$C$15, $D$11, 100%, $F$11)</f>
        <v>27.985099999999999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1.2509999999999999</v>
      </c>
      <c r="Q896" s="9">
        <v>19.053000000000001</v>
      </c>
      <c r="R896" s="9"/>
      <c r="S896" s="11"/>
    </row>
    <row r="897" spans="1:19" ht="15.75">
      <c r="A897" s="13">
        <v>68453</v>
      </c>
      <c r="B897" s="8">
        <f>CHOOSE( CONTROL!$C$32, 29.6158, 29.6141) * CHOOSE(CONTROL!$C$15, $D$11, 100%, $F$11)</f>
        <v>29.6158</v>
      </c>
      <c r="C897" s="8">
        <f>CHOOSE( CONTROL!$C$32, 29.6238, 29.6221) * CHOOSE(CONTROL!$C$15, $D$11, 100%, $F$11)</f>
        <v>29.623799999999999</v>
      </c>
      <c r="D897" s="8">
        <f>CHOOSE( CONTROL!$C$32, 29.6205, 29.6188) * CHOOSE( CONTROL!$C$15, $D$11, 100%, $F$11)</f>
        <v>29.6205</v>
      </c>
      <c r="E897" s="12">
        <f>CHOOSE( CONTROL!$C$32, 29.6205, 29.6188) * CHOOSE( CONTROL!$C$15, $D$11, 100%, $F$11)</f>
        <v>29.6205</v>
      </c>
      <c r="F897" s="4">
        <f>CHOOSE( CONTROL!$C$32, 30.3227, 30.3211) * CHOOSE(CONTROL!$C$15, $D$11, 100%, $F$11)</f>
        <v>30.322700000000001</v>
      </c>
      <c r="G897" s="8">
        <f>CHOOSE( CONTROL!$C$32, 29.2788, 29.2771) * CHOOSE( CONTROL!$C$15, $D$11, 100%, $F$11)</f>
        <v>29.2788</v>
      </c>
      <c r="H897" s="4">
        <f>CHOOSE( CONTROL!$C$32, 30.2143, 30.2126) * CHOOSE(CONTROL!$C$15, $D$11, 100%, $F$11)</f>
        <v>30.214300000000001</v>
      </c>
      <c r="I897" s="8">
        <f>CHOOSE( CONTROL!$C$32, 28.8621, 28.8605) * CHOOSE(CONTROL!$C$15, $D$11, 100%, $F$11)</f>
        <v>28.862100000000002</v>
      </c>
      <c r="J897" s="4">
        <f>CHOOSE( CONTROL!$C$32, 28.7313, 28.7297) * CHOOSE(CONTROL!$C$15, $D$11, 100%, $F$11)</f>
        <v>28.731300000000001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1.2927</v>
      </c>
      <c r="Q897" s="9">
        <v>19.688099999999999</v>
      </c>
      <c r="R897" s="9"/>
      <c r="S897" s="11"/>
    </row>
    <row r="898" spans="1:19" ht="15.75">
      <c r="A898" s="13">
        <v>68483</v>
      </c>
      <c r="B898" s="8">
        <f>CHOOSE( CONTROL!$C$32, 29.1398, 29.1382) * CHOOSE(CONTROL!$C$15, $D$11, 100%, $F$11)</f>
        <v>29.139800000000001</v>
      </c>
      <c r="C898" s="8">
        <f>CHOOSE( CONTROL!$C$32, 29.1478, 29.1462) * CHOOSE(CONTROL!$C$15, $D$11, 100%, $F$11)</f>
        <v>29.1478</v>
      </c>
      <c r="D898" s="8">
        <f>CHOOSE( CONTROL!$C$32, 29.1448, 29.1431) * CHOOSE( CONTROL!$C$15, $D$11, 100%, $F$11)</f>
        <v>29.1448</v>
      </c>
      <c r="E898" s="12">
        <f>CHOOSE( CONTROL!$C$32, 29.1447, 29.143) * CHOOSE( CONTROL!$C$15, $D$11, 100%, $F$11)</f>
        <v>29.1447</v>
      </c>
      <c r="F898" s="4">
        <f>CHOOSE( CONTROL!$C$32, 29.8468, 29.8451) * CHOOSE(CONTROL!$C$15, $D$11, 100%, $F$11)</f>
        <v>29.846800000000002</v>
      </c>
      <c r="G898" s="8">
        <f>CHOOSE( CONTROL!$C$32, 28.8086, 28.8069) * CHOOSE( CONTROL!$C$15, $D$11, 100%, $F$11)</f>
        <v>28.808599999999998</v>
      </c>
      <c r="H898" s="4">
        <f>CHOOSE( CONTROL!$C$32, 29.7439, 29.7423) * CHOOSE(CONTROL!$C$15, $D$11, 100%, $F$11)</f>
        <v>29.7439</v>
      </c>
      <c r="I898" s="8">
        <f>CHOOSE( CONTROL!$C$32, 28.4008, 28.3992) * CHOOSE(CONTROL!$C$15, $D$11, 100%, $F$11)</f>
        <v>28.4008</v>
      </c>
      <c r="J898" s="4">
        <f>CHOOSE( CONTROL!$C$32, 28.2694, 28.2678) * CHOOSE(CONTROL!$C$15, $D$11, 100%, $F$11)</f>
        <v>28.269400000000001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1.2509999999999999</v>
      </c>
      <c r="Q898" s="9">
        <v>19.053000000000001</v>
      </c>
      <c r="R898" s="9"/>
      <c r="S898" s="11"/>
    </row>
    <row r="899" spans="1:19" ht="15.75">
      <c r="A899" s="13">
        <v>68514</v>
      </c>
      <c r="B899" s="8">
        <f>CHOOSE( CONTROL!$C$32, 30.3932, 30.3915) * CHOOSE(CONTROL!$C$15, $D$11, 100%, $F$11)</f>
        <v>30.3932</v>
      </c>
      <c r="C899" s="8">
        <f>CHOOSE( CONTROL!$C$32, 30.4012, 30.3995) * CHOOSE(CONTROL!$C$15, $D$11, 100%, $F$11)</f>
        <v>30.401199999999999</v>
      </c>
      <c r="D899" s="8">
        <f>CHOOSE( CONTROL!$C$32, 30.3984, 30.3967) * CHOOSE( CONTROL!$C$15, $D$11, 100%, $F$11)</f>
        <v>30.398399999999999</v>
      </c>
      <c r="E899" s="12">
        <f>CHOOSE( CONTROL!$C$32, 30.3982, 30.3965) * CHOOSE( CONTROL!$C$15, $D$11, 100%, $F$11)</f>
        <v>30.398199999999999</v>
      </c>
      <c r="F899" s="4">
        <f>CHOOSE( CONTROL!$C$32, 31.1001, 31.0985) * CHOOSE(CONTROL!$C$15, $D$11, 100%, $F$11)</f>
        <v>31.100100000000001</v>
      </c>
      <c r="G899" s="8">
        <f>CHOOSE( CONTROL!$C$32, 30.0474, 30.0458) * CHOOSE( CONTROL!$C$15, $D$11, 100%, $F$11)</f>
        <v>30.0474</v>
      </c>
      <c r="H899" s="4">
        <f>CHOOSE( CONTROL!$C$32, 30.9826, 30.9809) * CHOOSE(CONTROL!$C$15, $D$11, 100%, $F$11)</f>
        <v>30.982600000000001</v>
      </c>
      <c r="I899" s="8">
        <f>CHOOSE( CONTROL!$C$32, 29.6186, 29.617) * CHOOSE(CONTROL!$C$15, $D$11, 100%, $F$11)</f>
        <v>29.618600000000001</v>
      </c>
      <c r="J899" s="4">
        <f>CHOOSE( CONTROL!$C$32, 29.4858, 29.4842) * CHOOSE(CONTROL!$C$15, $D$11, 100%, $F$11)</f>
        <v>29.485800000000001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1.2927</v>
      </c>
      <c r="Q899" s="9">
        <v>19.688099999999999</v>
      </c>
      <c r="R899" s="9"/>
      <c r="S899" s="11"/>
    </row>
    <row r="900" spans="1:19" ht="15.75">
      <c r="A900" s="13">
        <v>68545</v>
      </c>
      <c r="B900" s="8">
        <f>CHOOSE( CONTROL!$C$32, 28.048, 28.0464) * CHOOSE(CONTROL!$C$15, $D$11, 100%, $F$11)</f>
        <v>28.047999999999998</v>
      </c>
      <c r="C900" s="8">
        <f>CHOOSE( CONTROL!$C$32, 28.056, 28.0544) * CHOOSE(CONTROL!$C$15, $D$11, 100%, $F$11)</f>
        <v>28.056000000000001</v>
      </c>
      <c r="D900" s="8">
        <f>CHOOSE( CONTROL!$C$32, 28.0533, 28.0517) * CHOOSE( CONTROL!$C$15, $D$11, 100%, $F$11)</f>
        <v>28.0533</v>
      </c>
      <c r="E900" s="12">
        <f>CHOOSE( CONTROL!$C$32, 28.0531, 28.0515) * CHOOSE( CONTROL!$C$15, $D$11, 100%, $F$11)</f>
        <v>28.053100000000001</v>
      </c>
      <c r="F900" s="4">
        <f>CHOOSE( CONTROL!$C$32, 28.755, 28.7533) * CHOOSE(CONTROL!$C$15, $D$11, 100%, $F$11)</f>
        <v>28.754999999999999</v>
      </c>
      <c r="G900" s="8">
        <f>CHOOSE( CONTROL!$C$32, 27.7298, 27.7282) * CHOOSE( CONTROL!$C$15, $D$11, 100%, $F$11)</f>
        <v>27.729800000000001</v>
      </c>
      <c r="H900" s="4">
        <f>CHOOSE( CONTROL!$C$32, 28.6649, 28.6632) * CHOOSE(CONTROL!$C$15, $D$11, 100%, $F$11)</f>
        <v>28.664899999999999</v>
      </c>
      <c r="I900" s="8">
        <f>CHOOSE( CONTROL!$C$32, 27.3419, 27.3402) * CHOOSE(CONTROL!$C$15, $D$11, 100%, $F$11)</f>
        <v>27.341899999999999</v>
      </c>
      <c r="J900" s="4">
        <f>CHOOSE( CONTROL!$C$32, 27.2098, 27.2082) * CHOOSE(CONTROL!$C$15, $D$11, 100%, $F$11)</f>
        <v>27.209800000000001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1.2927</v>
      </c>
      <c r="Q900" s="9">
        <v>19.688099999999999</v>
      </c>
      <c r="R900" s="9"/>
      <c r="S900" s="11"/>
    </row>
    <row r="901" spans="1:19" ht="15.75">
      <c r="A901" s="13">
        <v>68575</v>
      </c>
      <c r="B901" s="8">
        <f>CHOOSE( CONTROL!$C$32, 27.4608, 27.4591) * CHOOSE(CONTROL!$C$15, $D$11, 100%, $F$11)</f>
        <v>27.460799999999999</v>
      </c>
      <c r="C901" s="8">
        <f>CHOOSE( CONTROL!$C$32, 27.4688, 27.4671) * CHOOSE(CONTROL!$C$15, $D$11, 100%, $F$11)</f>
        <v>27.468800000000002</v>
      </c>
      <c r="D901" s="8">
        <f>CHOOSE( CONTROL!$C$32, 27.466, 27.4644) * CHOOSE( CONTROL!$C$15, $D$11, 100%, $F$11)</f>
        <v>27.466000000000001</v>
      </c>
      <c r="E901" s="12">
        <f>CHOOSE( CONTROL!$C$32, 27.4658, 27.4642) * CHOOSE( CONTROL!$C$15, $D$11, 100%, $F$11)</f>
        <v>27.465800000000002</v>
      </c>
      <c r="F901" s="4">
        <f>CHOOSE( CONTROL!$C$32, 28.1677, 28.1661) * CHOOSE(CONTROL!$C$15, $D$11, 100%, $F$11)</f>
        <v>28.1677</v>
      </c>
      <c r="G901" s="8">
        <f>CHOOSE( CONTROL!$C$32, 27.1494, 27.1478) * CHOOSE( CONTROL!$C$15, $D$11, 100%, $F$11)</f>
        <v>27.1494</v>
      </c>
      <c r="H901" s="4">
        <f>CHOOSE( CONTROL!$C$32, 28.0845, 28.0829) * CHOOSE(CONTROL!$C$15, $D$11, 100%, $F$11)</f>
        <v>28.084499999999998</v>
      </c>
      <c r="I901" s="8">
        <f>CHOOSE( CONTROL!$C$32, 26.7715, 26.7699) * CHOOSE(CONTROL!$C$15, $D$11, 100%, $F$11)</f>
        <v>26.7715</v>
      </c>
      <c r="J901" s="4">
        <f>CHOOSE( CONTROL!$C$32, 26.6399, 26.6383) * CHOOSE(CONTROL!$C$15, $D$11, 100%, $F$11)</f>
        <v>26.639900000000001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1.2509999999999999</v>
      </c>
      <c r="Q901" s="9">
        <v>19.053000000000001</v>
      </c>
      <c r="R901" s="9"/>
      <c r="S901" s="11"/>
    </row>
    <row r="902" spans="1:19" ht="15.75">
      <c r="A902" s="13">
        <v>68606</v>
      </c>
      <c r="B902" s="8">
        <f>CHOOSE( CONTROL!$C$32, 28.6778, 28.6767) * CHOOSE(CONTROL!$C$15, $D$11, 100%, $F$11)</f>
        <v>28.677800000000001</v>
      </c>
      <c r="C902" s="8">
        <f>CHOOSE( CONTROL!$C$32, 28.6832, 28.6821) * CHOOSE(CONTROL!$C$15, $D$11, 100%, $F$11)</f>
        <v>28.683199999999999</v>
      </c>
      <c r="D902" s="8">
        <f>CHOOSE( CONTROL!$C$32, 28.6861, 28.685) * CHOOSE( CONTROL!$C$15, $D$11, 100%, $F$11)</f>
        <v>28.6861</v>
      </c>
      <c r="E902" s="12">
        <f>CHOOSE( CONTROL!$C$32, 28.6846, 28.6835) * CHOOSE( CONTROL!$C$15, $D$11, 100%, $F$11)</f>
        <v>28.6846</v>
      </c>
      <c r="F902" s="4">
        <f>CHOOSE( CONTROL!$C$32, 29.3865, 29.3854) * CHOOSE(CONTROL!$C$15, $D$11, 100%, $F$11)</f>
        <v>29.386500000000002</v>
      </c>
      <c r="G902" s="8">
        <f>CHOOSE( CONTROL!$C$32, 28.3541, 28.353) * CHOOSE( CONTROL!$C$15, $D$11, 100%, $F$11)</f>
        <v>28.354099999999999</v>
      </c>
      <c r="H902" s="4">
        <f>CHOOSE( CONTROL!$C$32, 29.289, 29.2879) * CHOOSE(CONTROL!$C$15, $D$11, 100%, $F$11)</f>
        <v>29.289000000000001</v>
      </c>
      <c r="I902" s="8">
        <f>CHOOSE( CONTROL!$C$32, 27.9557, 27.9546) * CHOOSE(CONTROL!$C$15, $D$11, 100%, $F$11)</f>
        <v>27.9557</v>
      </c>
      <c r="J902" s="4">
        <f>CHOOSE( CONTROL!$C$32, 27.8227, 27.8216) * CHOOSE(CONTROL!$C$15, $D$11, 100%, $F$11)</f>
        <v>27.822700000000001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1.2927</v>
      </c>
      <c r="Q902" s="9">
        <v>19.688099999999999</v>
      </c>
      <c r="R902" s="9"/>
      <c r="S902" s="11"/>
    </row>
    <row r="903" spans="1:19" ht="15.75">
      <c r="A903" s="13">
        <v>68636</v>
      </c>
      <c r="B903" s="8">
        <f>CHOOSE( CONTROL!$C$32, 30.9281, 30.927) * CHOOSE(CONTROL!$C$15, $D$11, 100%, $F$11)</f>
        <v>30.928100000000001</v>
      </c>
      <c r="C903" s="8">
        <f>CHOOSE( CONTROL!$C$32, 30.9331, 30.9321) * CHOOSE(CONTROL!$C$15, $D$11, 100%, $F$11)</f>
        <v>30.9331</v>
      </c>
      <c r="D903" s="8">
        <f>CHOOSE( CONTROL!$C$32, 30.9153, 30.9142) * CHOOSE( CONTROL!$C$15, $D$11, 100%, $F$11)</f>
        <v>30.915299999999998</v>
      </c>
      <c r="E903" s="12">
        <f>CHOOSE( CONTROL!$C$32, 30.9213, 30.9202) * CHOOSE( CONTROL!$C$15, $D$11, 100%, $F$11)</f>
        <v>30.921299999999999</v>
      </c>
      <c r="F903" s="4">
        <f>CHOOSE( CONTROL!$C$32, 31.5934, 31.5923) * CHOOSE(CONTROL!$C$15, $D$11, 100%, $F$11)</f>
        <v>31.593399999999999</v>
      </c>
      <c r="G903" s="8">
        <f>CHOOSE( CONTROL!$C$32, 30.5775, 30.5764) * CHOOSE( CONTROL!$C$15, $D$11, 100%, $F$11)</f>
        <v>30.577500000000001</v>
      </c>
      <c r="H903" s="4">
        <f>CHOOSE( CONTROL!$C$32, 31.47, 31.4689) * CHOOSE(CONTROL!$C$15, $D$11, 100%, $F$11)</f>
        <v>31.47</v>
      </c>
      <c r="I903" s="8">
        <f>CHOOSE( CONTROL!$C$32, 30.2028, 30.2017) * CHOOSE(CONTROL!$C$15, $D$11, 100%, $F$11)</f>
        <v>30.2028</v>
      </c>
      <c r="J903" s="4">
        <f>CHOOSE( CONTROL!$C$32, 30.0069, 30.0059) * CHOOSE(CONTROL!$C$15, $D$11, 100%, $F$11)</f>
        <v>30.006900000000002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68667</v>
      </c>
      <c r="B904" s="8">
        <f>CHOOSE( CONTROL!$C$32, 30.8718, 30.8708) * CHOOSE(CONTROL!$C$15, $D$11, 100%, $F$11)</f>
        <v>30.8718</v>
      </c>
      <c r="C904" s="8">
        <f>CHOOSE( CONTROL!$C$32, 30.8769, 30.8758) * CHOOSE(CONTROL!$C$15, $D$11, 100%, $F$11)</f>
        <v>30.876899999999999</v>
      </c>
      <c r="D904" s="8">
        <f>CHOOSE( CONTROL!$C$32, 30.8605, 30.8594) * CHOOSE( CONTROL!$C$15, $D$11, 100%, $F$11)</f>
        <v>30.860499999999998</v>
      </c>
      <c r="E904" s="12">
        <f>CHOOSE( CONTROL!$C$32, 30.866, 30.8649) * CHOOSE( CONTROL!$C$15, $D$11, 100%, $F$11)</f>
        <v>30.866</v>
      </c>
      <c r="F904" s="4">
        <f>CHOOSE( CONTROL!$C$32, 31.5371, 31.536) * CHOOSE(CONTROL!$C$15, $D$11, 100%, $F$11)</f>
        <v>31.537099999999999</v>
      </c>
      <c r="G904" s="8">
        <f>CHOOSE( CONTROL!$C$32, 30.5229, 30.5218) * CHOOSE( CONTROL!$C$15, $D$11, 100%, $F$11)</f>
        <v>30.5229</v>
      </c>
      <c r="H904" s="4">
        <f>CHOOSE( CONTROL!$C$32, 31.4144, 31.4134) * CHOOSE(CONTROL!$C$15, $D$11, 100%, $F$11)</f>
        <v>31.414400000000001</v>
      </c>
      <c r="I904" s="8">
        <f>CHOOSE( CONTROL!$C$32, 30.1526, 30.1516) * CHOOSE(CONTROL!$C$15, $D$11, 100%, $F$11)</f>
        <v>30.1526</v>
      </c>
      <c r="J904" s="4">
        <f>CHOOSE( CONTROL!$C$32, 29.9524, 29.9513) * CHOOSE(CONTROL!$C$15, $D$11, 100%, $F$11)</f>
        <v>29.952400000000001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68698</v>
      </c>
      <c r="B905" s="8">
        <f>CHOOSE( CONTROL!$C$32, 31.7822, 31.7811) * CHOOSE(CONTROL!$C$15, $D$11, 100%, $F$11)</f>
        <v>31.7822</v>
      </c>
      <c r="C905" s="8">
        <f>CHOOSE( CONTROL!$C$32, 31.7872, 31.7862) * CHOOSE(CONTROL!$C$15, $D$11, 100%, $F$11)</f>
        <v>31.787199999999999</v>
      </c>
      <c r="D905" s="8">
        <f>CHOOSE( CONTROL!$C$32, 31.766, 31.7649) * CHOOSE( CONTROL!$C$15, $D$11, 100%, $F$11)</f>
        <v>31.765999999999998</v>
      </c>
      <c r="E905" s="12">
        <f>CHOOSE( CONTROL!$C$32, 31.7732, 31.7721) * CHOOSE( CONTROL!$C$15, $D$11, 100%, $F$11)</f>
        <v>31.773199999999999</v>
      </c>
      <c r="F905" s="4">
        <f>CHOOSE( CONTROL!$C$32, 32.4474, 32.4464) * CHOOSE(CONTROL!$C$15, $D$11, 100%, $F$11)</f>
        <v>32.447400000000002</v>
      </c>
      <c r="G905" s="8">
        <f>CHOOSE( CONTROL!$C$32, 31.4121, 31.411) * CHOOSE( CONTROL!$C$15, $D$11, 100%, $F$11)</f>
        <v>31.412099999999999</v>
      </c>
      <c r="H905" s="4">
        <f>CHOOSE( CONTROL!$C$32, 32.3141, 32.313) * CHOOSE(CONTROL!$C$15, $D$11, 100%, $F$11)</f>
        <v>32.314100000000003</v>
      </c>
      <c r="I905" s="8">
        <f>CHOOSE( CONTROL!$C$32, 30.9986, 30.9975) * CHOOSE(CONTROL!$C$15, $D$11, 100%, $F$11)</f>
        <v>30.9986</v>
      </c>
      <c r="J905" s="4">
        <f>CHOOSE( CONTROL!$C$32, 30.8358, 30.8348) * CHOOSE(CONTROL!$C$15, $D$11, 100%, $F$11)</f>
        <v>30.835799999999999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68727</v>
      </c>
      <c r="B906" s="8">
        <f>CHOOSE( CONTROL!$C$32, 29.7282, 29.7271) * CHOOSE(CONTROL!$C$15, $D$11, 100%, $F$11)</f>
        <v>29.728200000000001</v>
      </c>
      <c r="C906" s="8">
        <f>CHOOSE( CONTROL!$C$32, 29.7332, 29.7321) * CHOOSE(CONTROL!$C$15, $D$11, 100%, $F$11)</f>
        <v>29.7332</v>
      </c>
      <c r="D906" s="8">
        <f>CHOOSE( CONTROL!$C$32, 29.7118, 29.7107) * CHOOSE( CONTROL!$C$15, $D$11, 100%, $F$11)</f>
        <v>29.7118</v>
      </c>
      <c r="E906" s="12">
        <f>CHOOSE( CONTROL!$C$32, 29.7191, 29.718) * CHOOSE( CONTROL!$C$15, $D$11, 100%, $F$11)</f>
        <v>29.719100000000001</v>
      </c>
      <c r="F906" s="4">
        <f>CHOOSE( CONTROL!$C$32, 30.3934, 30.3923) * CHOOSE(CONTROL!$C$15, $D$11, 100%, $F$11)</f>
        <v>30.3934</v>
      </c>
      <c r="G906" s="8">
        <f>CHOOSE( CONTROL!$C$32, 29.382, 29.381) * CHOOSE( CONTROL!$C$15, $D$11, 100%, $F$11)</f>
        <v>29.382000000000001</v>
      </c>
      <c r="H906" s="4">
        <f>CHOOSE( CONTROL!$C$32, 30.2841, 30.2831) * CHOOSE(CONTROL!$C$15, $D$11, 100%, $F$11)</f>
        <v>30.284099999999999</v>
      </c>
      <c r="I906" s="8">
        <f>CHOOSE( CONTROL!$C$32, 29.0038, 29.0027) * CHOOSE(CONTROL!$C$15, $D$11, 100%, $F$11)</f>
        <v>29.003799999999998</v>
      </c>
      <c r="J906" s="4">
        <f>CHOOSE( CONTROL!$C$32, 28.8424, 28.8414) * CHOOSE(CONTROL!$C$15, $D$11, 100%, $F$11)</f>
        <v>28.842400000000001</v>
      </c>
      <c r="K906" s="4"/>
      <c r="L906" s="9">
        <v>27.415299999999998</v>
      </c>
      <c r="M906" s="9">
        <v>11.285299999999999</v>
      </c>
      <c r="N906" s="9">
        <v>4.6254999999999997</v>
      </c>
      <c r="O906" s="9">
        <v>0.34989999999999999</v>
      </c>
      <c r="P906" s="9">
        <v>1.2093</v>
      </c>
      <c r="Q906" s="9">
        <v>18.417899999999999</v>
      </c>
      <c r="R906" s="9"/>
      <c r="S906" s="11"/>
    </row>
    <row r="907" spans="1:19" ht="15.75">
      <c r="A907" s="13">
        <v>68758</v>
      </c>
      <c r="B907" s="8">
        <f>CHOOSE( CONTROL!$C$32, 29.0955, 29.0944) * CHOOSE(CONTROL!$C$15, $D$11, 100%, $F$11)</f>
        <v>29.095500000000001</v>
      </c>
      <c r="C907" s="8">
        <f>CHOOSE( CONTROL!$C$32, 29.1006, 29.0995) * CHOOSE(CONTROL!$C$15, $D$11, 100%, $F$11)</f>
        <v>29.1006</v>
      </c>
      <c r="D907" s="8">
        <f>CHOOSE( CONTROL!$C$32, 29.0785, 29.0775) * CHOOSE( CONTROL!$C$15, $D$11, 100%, $F$11)</f>
        <v>29.078499999999998</v>
      </c>
      <c r="E907" s="12">
        <f>CHOOSE( CONTROL!$C$32, 29.086, 29.085) * CHOOSE( CONTROL!$C$15, $D$11, 100%, $F$11)</f>
        <v>29.085999999999999</v>
      </c>
      <c r="F907" s="4">
        <f>CHOOSE( CONTROL!$C$32, 29.7608, 29.7597) * CHOOSE(CONTROL!$C$15, $D$11, 100%, $F$11)</f>
        <v>29.7608</v>
      </c>
      <c r="G907" s="8">
        <f>CHOOSE( CONTROL!$C$32, 28.7564, 28.7553) * CHOOSE( CONTROL!$C$15, $D$11, 100%, $F$11)</f>
        <v>28.756399999999999</v>
      </c>
      <c r="H907" s="4">
        <f>CHOOSE( CONTROL!$C$32, 29.6589, 29.6579) * CHOOSE(CONTROL!$C$15, $D$11, 100%, $F$11)</f>
        <v>29.658899999999999</v>
      </c>
      <c r="I907" s="8">
        <f>CHOOSE( CONTROL!$C$32, 28.3875, 28.3865) * CHOOSE(CONTROL!$C$15, $D$11, 100%, $F$11)</f>
        <v>28.387499999999999</v>
      </c>
      <c r="J907" s="4">
        <f>CHOOSE( CONTROL!$C$32, 28.2285, 28.2274) * CHOOSE(CONTROL!$C$15, $D$11, 100%, $F$11)</f>
        <v>28.2285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68788</v>
      </c>
      <c r="B908" s="8">
        <f>CHOOSE( CONTROL!$C$32, 29.5384, 29.5373) * CHOOSE(CONTROL!$C$15, $D$11, 100%, $F$11)</f>
        <v>29.538399999999999</v>
      </c>
      <c r="C908" s="8">
        <f>CHOOSE( CONTROL!$C$32, 29.5429, 29.5418) * CHOOSE(CONTROL!$C$15, $D$11, 100%, $F$11)</f>
        <v>29.542899999999999</v>
      </c>
      <c r="D908" s="8">
        <f>CHOOSE( CONTROL!$C$32, 29.5457, 29.5446) * CHOOSE( CONTROL!$C$15, $D$11, 100%, $F$11)</f>
        <v>29.5457</v>
      </c>
      <c r="E908" s="12">
        <f>CHOOSE( CONTROL!$C$32, 29.5443, 29.5432) * CHOOSE( CONTROL!$C$15, $D$11, 100%, $F$11)</f>
        <v>29.5443</v>
      </c>
      <c r="F908" s="4">
        <f>CHOOSE( CONTROL!$C$32, 30.2467, 30.2456) * CHOOSE(CONTROL!$C$15, $D$11, 100%, $F$11)</f>
        <v>30.246700000000001</v>
      </c>
      <c r="G908" s="8">
        <f>CHOOSE( CONTROL!$C$32, 29.2037, 29.2027) * CHOOSE( CONTROL!$C$15, $D$11, 100%, $F$11)</f>
        <v>29.203700000000001</v>
      </c>
      <c r="H908" s="4">
        <f>CHOOSE( CONTROL!$C$32, 30.1391, 30.138) * CHOOSE(CONTROL!$C$15, $D$11, 100%, $F$11)</f>
        <v>30.139099999999999</v>
      </c>
      <c r="I908" s="8">
        <f>CHOOSE( CONTROL!$C$32, 28.789, 28.788) * CHOOSE(CONTROL!$C$15, $D$11, 100%, $F$11)</f>
        <v>28.789000000000001</v>
      </c>
      <c r="J908" s="4">
        <f>CHOOSE( CONTROL!$C$32, 28.6575, 28.6564) * CHOOSE(CONTROL!$C$15, $D$11, 100%, $F$11)</f>
        <v>28.657499999999999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1.2509999999999999</v>
      </c>
      <c r="Q908" s="9">
        <v>19.053000000000001</v>
      </c>
      <c r="R908" s="9"/>
      <c r="S908" s="11"/>
    </row>
    <row r="909" spans="1:19" ht="15.75">
      <c r="A909" s="13">
        <v>68819</v>
      </c>
      <c r="B909" s="8">
        <f>CHOOSE( CONTROL!$C$32, 30.3271, 30.3254) * CHOOSE(CONTROL!$C$15, $D$11, 100%, $F$11)</f>
        <v>30.327100000000002</v>
      </c>
      <c r="C909" s="8">
        <f>CHOOSE( CONTROL!$C$32, 30.335, 30.3334) * CHOOSE(CONTROL!$C$15, $D$11, 100%, $F$11)</f>
        <v>30.335000000000001</v>
      </c>
      <c r="D909" s="8">
        <f>CHOOSE( CONTROL!$C$32, 30.3318, 30.3301) * CHOOSE( CONTROL!$C$15, $D$11, 100%, $F$11)</f>
        <v>30.331800000000001</v>
      </c>
      <c r="E909" s="12">
        <f>CHOOSE( CONTROL!$C$32, 30.3318, 30.3301) * CHOOSE( CONTROL!$C$15, $D$11, 100%, $F$11)</f>
        <v>30.331800000000001</v>
      </c>
      <c r="F909" s="4">
        <f>CHOOSE( CONTROL!$C$32, 31.034, 31.0324) * CHOOSE(CONTROL!$C$15, $D$11, 100%, $F$11)</f>
        <v>31.033999999999999</v>
      </c>
      <c r="G909" s="8">
        <f>CHOOSE( CONTROL!$C$32, 29.9817, 29.9801) * CHOOSE( CONTROL!$C$15, $D$11, 100%, $F$11)</f>
        <v>29.9817</v>
      </c>
      <c r="H909" s="4">
        <f>CHOOSE( CONTROL!$C$32, 30.9172, 30.9156) * CHOOSE(CONTROL!$C$15, $D$11, 100%, $F$11)</f>
        <v>30.917200000000001</v>
      </c>
      <c r="I909" s="8">
        <f>CHOOSE( CONTROL!$C$32, 29.5528, 29.5512) * CHOOSE(CONTROL!$C$15, $D$11, 100%, $F$11)</f>
        <v>29.552800000000001</v>
      </c>
      <c r="J909" s="4">
        <f>CHOOSE( CONTROL!$C$32, 29.4216, 29.42) * CHOOSE(CONTROL!$C$15, $D$11, 100%, $F$11)</f>
        <v>29.421600000000002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1.2927</v>
      </c>
      <c r="Q909" s="9">
        <v>19.688099999999999</v>
      </c>
      <c r="R909" s="9"/>
      <c r="S909" s="11"/>
    </row>
    <row r="910" spans="1:19" ht="15.75">
      <c r="A910" s="13">
        <v>68849</v>
      </c>
      <c r="B910" s="8">
        <f>CHOOSE( CONTROL!$C$32, 29.8397, 29.838) * CHOOSE(CONTROL!$C$15, $D$11, 100%, $F$11)</f>
        <v>29.839700000000001</v>
      </c>
      <c r="C910" s="8">
        <f>CHOOSE( CONTROL!$C$32, 29.8477, 29.846) * CHOOSE(CONTROL!$C$15, $D$11, 100%, $F$11)</f>
        <v>29.8477</v>
      </c>
      <c r="D910" s="8">
        <f>CHOOSE( CONTROL!$C$32, 29.8446, 29.843) * CHOOSE( CONTROL!$C$15, $D$11, 100%, $F$11)</f>
        <v>29.8446</v>
      </c>
      <c r="E910" s="12">
        <f>CHOOSE( CONTROL!$C$32, 29.8445, 29.8429) * CHOOSE( CONTROL!$C$15, $D$11, 100%, $F$11)</f>
        <v>29.8445</v>
      </c>
      <c r="F910" s="4">
        <f>CHOOSE( CONTROL!$C$32, 30.5466, 30.545) * CHOOSE(CONTROL!$C$15, $D$11, 100%, $F$11)</f>
        <v>30.546600000000002</v>
      </c>
      <c r="G910" s="8">
        <f>CHOOSE( CONTROL!$C$32, 29.5002, 29.4986) * CHOOSE( CONTROL!$C$15, $D$11, 100%, $F$11)</f>
        <v>29.5002</v>
      </c>
      <c r="H910" s="4">
        <f>CHOOSE( CONTROL!$C$32, 30.4355, 30.4339) * CHOOSE(CONTROL!$C$15, $D$11, 100%, $F$11)</f>
        <v>30.435500000000001</v>
      </c>
      <c r="I910" s="8">
        <f>CHOOSE( CONTROL!$C$32, 29.0803, 29.0787) * CHOOSE(CONTROL!$C$15, $D$11, 100%, $F$11)</f>
        <v>29.080300000000001</v>
      </c>
      <c r="J910" s="4">
        <f>CHOOSE( CONTROL!$C$32, 28.9486, 28.947) * CHOOSE(CONTROL!$C$15, $D$11, 100%, $F$11)</f>
        <v>28.948599999999999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1.2509999999999999</v>
      </c>
      <c r="Q910" s="9">
        <v>19.053000000000001</v>
      </c>
      <c r="R910" s="9"/>
      <c r="S910" s="11"/>
    </row>
    <row r="911" spans="1:19" ht="15.75">
      <c r="A911" s="13">
        <v>68880</v>
      </c>
      <c r="B911" s="8">
        <f>CHOOSE( CONTROL!$C$32, 31.1231, 31.1215) * CHOOSE(CONTROL!$C$15, $D$11, 100%, $F$11)</f>
        <v>31.123100000000001</v>
      </c>
      <c r="C911" s="8">
        <f>CHOOSE( CONTROL!$C$32, 31.1311, 31.1295) * CHOOSE(CONTROL!$C$15, $D$11, 100%, $F$11)</f>
        <v>31.1311</v>
      </c>
      <c r="D911" s="8">
        <f>CHOOSE( CONTROL!$C$32, 31.1283, 31.1267) * CHOOSE( CONTROL!$C$15, $D$11, 100%, $F$11)</f>
        <v>31.128299999999999</v>
      </c>
      <c r="E911" s="12">
        <f>CHOOSE( CONTROL!$C$32, 31.1281, 31.1265) * CHOOSE( CONTROL!$C$15, $D$11, 100%, $F$11)</f>
        <v>31.1281</v>
      </c>
      <c r="F911" s="4">
        <f>CHOOSE( CONTROL!$C$32, 31.8301, 31.8284) * CHOOSE(CONTROL!$C$15, $D$11, 100%, $F$11)</f>
        <v>31.830100000000002</v>
      </c>
      <c r="G911" s="8">
        <f>CHOOSE( CONTROL!$C$32, 30.7688, 30.7672) * CHOOSE( CONTROL!$C$15, $D$11, 100%, $F$11)</f>
        <v>30.768799999999999</v>
      </c>
      <c r="H911" s="4">
        <f>CHOOSE( CONTROL!$C$32, 31.704, 31.7023) * CHOOSE(CONTROL!$C$15, $D$11, 100%, $F$11)</f>
        <v>31.704000000000001</v>
      </c>
      <c r="I911" s="8">
        <f>CHOOSE( CONTROL!$C$32, 30.3274, 30.3258) * CHOOSE(CONTROL!$C$15, $D$11, 100%, $F$11)</f>
        <v>30.327400000000001</v>
      </c>
      <c r="J911" s="4">
        <f>CHOOSE( CONTROL!$C$32, 30.1942, 30.1926) * CHOOSE(CONTROL!$C$15, $D$11, 100%, $F$11)</f>
        <v>30.194199999999999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1.2927</v>
      </c>
      <c r="Q911" s="9">
        <v>19.688099999999999</v>
      </c>
      <c r="R911" s="9"/>
      <c r="S911" s="11"/>
    </row>
    <row r="912" spans="1:19" ht="15.75">
      <c r="A912" s="13">
        <v>68911</v>
      </c>
      <c r="B912" s="8">
        <f>CHOOSE( CONTROL!$C$32, 28.7217, 28.72) * CHOOSE(CONTROL!$C$15, $D$11, 100%, $F$11)</f>
        <v>28.721699999999998</v>
      </c>
      <c r="C912" s="8">
        <f>CHOOSE( CONTROL!$C$32, 28.7296, 28.728) * CHOOSE(CONTROL!$C$15, $D$11, 100%, $F$11)</f>
        <v>28.729600000000001</v>
      </c>
      <c r="D912" s="8">
        <f>CHOOSE( CONTROL!$C$32, 28.7269, 28.7253) * CHOOSE( CONTROL!$C$15, $D$11, 100%, $F$11)</f>
        <v>28.726900000000001</v>
      </c>
      <c r="E912" s="12">
        <f>CHOOSE( CONTROL!$C$32, 28.7267, 28.7251) * CHOOSE( CONTROL!$C$15, $D$11, 100%, $F$11)</f>
        <v>28.726700000000001</v>
      </c>
      <c r="F912" s="4">
        <f>CHOOSE( CONTROL!$C$32, 29.4286, 29.4269) * CHOOSE(CONTROL!$C$15, $D$11, 100%, $F$11)</f>
        <v>29.428599999999999</v>
      </c>
      <c r="G912" s="8">
        <f>CHOOSE( CONTROL!$C$32, 28.3956, 28.3939) * CHOOSE( CONTROL!$C$15, $D$11, 100%, $F$11)</f>
        <v>28.395600000000002</v>
      </c>
      <c r="H912" s="4">
        <f>CHOOSE( CONTROL!$C$32, 29.3306, 29.329) * CHOOSE(CONTROL!$C$15, $D$11, 100%, $F$11)</f>
        <v>29.3306</v>
      </c>
      <c r="I912" s="8">
        <f>CHOOSE( CONTROL!$C$32, 27.9959, 27.9943) * CHOOSE(CONTROL!$C$15, $D$11, 100%, $F$11)</f>
        <v>27.995899999999999</v>
      </c>
      <c r="J912" s="4">
        <f>CHOOSE( CONTROL!$C$32, 27.8635, 27.8619) * CHOOSE(CONTROL!$C$15, $D$11, 100%, $F$11)</f>
        <v>27.863499999999998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1.2927</v>
      </c>
      <c r="Q912" s="9">
        <v>19.688099999999999</v>
      </c>
      <c r="R912" s="9"/>
      <c r="S912" s="11"/>
    </row>
    <row r="913" spans="1:19" ht="15.75">
      <c r="A913" s="13">
        <v>68941</v>
      </c>
      <c r="B913" s="8">
        <f>CHOOSE( CONTROL!$C$32, 28.1203, 28.1186) * CHOOSE(CONTROL!$C$15, $D$11, 100%, $F$11)</f>
        <v>28.1203</v>
      </c>
      <c r="C913" s="8">
        <f>CHOOSE( CONTROL!$C$32, 28.1283, 28.1266) * CHOOSE(CONTROL!$C$15, $D$11, 100%, $F$11)</f>
        <v>28.128299999999999</v>
      </c>
      <c r="D913" s="8">
        <f>CHOOSE( CONTROL!$C$32, 28.1255, 28.1239) * CHOOSE( CONTROL!$C$15, $D$11, 100%, $F$11)</f>
        <v>28.125499999999999</v>
      </c>
      <c r="E913" s="12">
        <f>CHOOSE( CONTROL!$C$32, 28.1253, 28.1237) * CHOOSE( CONTROL!$C$15, $D$11, 100%, $F$11)</f>
        <v>28.125299999999999</v>
      </c>
      <c r="F913" s="4">
        <f>CHOOSE( CONTROL!$C$32, 28.8272, 28.8256) * CHOOSE(CONTROL!$C$15, $D$11, 100%, $F$11)</f>
        <v>28.827200000000001</v>
      </c>
      <c r="G913" s="8">
        <f>CHOOSE( CONTROL!$C$32, 27.8012, 27.7996) * CHOOSE( CONTROL!$C$15, $D$11, 100%, $F$11)</f>
        <v>27.801200000000001</v>
      </c>
      <c r="H913" s="4">
        <f>CHOOSE( CONTROL!$C$32, 28.7363, 28.7347) * CHOOSE(CONTROL!$C$15, $D$11, 100%, $F$11)</f>
        <v>28.7363</v>
      </c>
      <c r="I913" s="8">
        <f>CHOOSE( CONTROL!$C$32, 27.4118, 27.4102) * CHOOSE(CONTROL!$C$15, $D$11, 100%, $F$11)</f>
        <v>27.411799999999999</v>
      </c>
      <c r="J913" s="4">
        <f>CHOOSE( CONTROL!$C$32, 27.2799, 27.2783) * CHOOSE(CONTROL!$C$15, $D$11, 100%, $F$11)</f>
        <v>27.279900000000001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1.2509999999999999</v>
      </c>
      <c r="Q913" s="9">
        <v>19.053000000000001</v>
      </c>
      <c r="R913" s="9"/>
      <c r="S913" s="11"/>
    </row>
    <row r="914" spans="1:19" ht="15.75">
      <c r="A914" s="13">
        <v>68972</v>
      </c>
      <c r="B914" s="8">
        <f>CHOOSE( CONTROL!$C$32, 29.3666, 29.3655) * CHOOSE(CONTROL!$C$15, $D$11, 100%, $F$11)</f>
        <v>29.366599999999998</v>
      </c>
      <c r="C914" s="8">
        <f>CHOOSE( CONTROL!$C$32, 29.372, 29.3709) * CHOOSE(CONTROL!$C$15, $D$11, 100%, $F$11)</f>
        <v>29.372</v>
      </c>
      <c r="D914" s="8">
        <f>CHOOSE( CONTROL!$C$32, 29.3749, 29.3738) * CHOOSE( CONTROL!$C$15, $D$11, 100%, $F$11)</f>
        <v>29.3749</v>
      </c>
      <c r="E914" s="12">
        <f>CHOOSE( CONTROL!$C$32, 29.3734, 29.3723) * CHOOSE( CONTROL!$C$15, $D$11, 100%, $F$11)</f>
        <v>29.3734</v>
      </c>
      <c r="F914" s="4">
        <f>CHOOSE( CONTROL!$C$32, 30.0753, 30.0742) * CHOOSE(CONTROL!$C$15, $D$11, 100%, $F$11)</f>
        <v>30.075299999999999</v>
      </c>
      <c r="G914" s="8">
        <f>CHOOSE( CONTROL!$C$32, 29.0348, 29.0337) * CHOOSE( CONTROL!$C$15, $D$11, 100%, $F$11)</f>
        <v>29.034800000000001</v>
      </c>
      <c r="H914" s="4">
        <f>CHOOSE( CONTROL!$C$32, 29.9697, 29.9687) * CHOOSE(CONTROL!$C$15, $D$11, 100%, $F$11)</f>
        <v>29.9697</v>
      </c>
      <c r="I914" s="8">
        <f>CHOOSE( CONTROL!$C$32, 28.6245, 28.6234) * CHOOSE(CONTROL!$C$15, $D$11, 100%, $F$11)</f>
        <v>28.624500000000001</v>
      </c>
      <c r="J914" s="4">
        <f>CHOOSE( CONTROL!$C$32, 28.4912, 28.4901) * CHOOSE(CONTROL!$C$15, $D$11, 100%, $F$11)</f>
        <v>28.491199999999999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1.2927</v>
      </c>
      <c r="Q914" s="9">
        <v>19.688099999999999</v>
      </c>
      <c r="R914" s="9"/>
      <c r="S914" s="11"/>
    </row>
    <row r="915" spans="1:19" ht="15.75">
      <c r="A915" s="13">
        <v>69002</v>
      </c>
      <c r="B915" s="8">
        <f>CHOOSE( CONTROL!$C$32, 31.671, 31.6699) * CHOOSE(CONTROL!$C$15, $D$11, 100%, $F$11)</f>
        <v>31.670999999999999</v>
      </c>
      <c r="C915" s="8">
        <f>CHOOSE( CONTROL!$C$32, 31.676, 31.6749) * CHOOSE(CONTROL!$C$15, $D$11, 100%, $F$11)</f>
        <v>31.675999999999998</v>
      </c>
      <c r="D915" s="8">
        <f>CHOOSE( CONTROL!$C$32, 31.6582, 31.6571) * CHOOSE( CONTROL!$C$15, $D$11, 100%, $F$11)</f>
        <v>31.658200000000001</v>
      </c>
      <c r="E915" s="12">
        <f>CHOOSE( CONTROL!$C$32, 31.6642, 31.6631) * CHOOSE( CONTROL!$C$15, $D$11, 100%, $F$11)</f>
        <v>31.664200000000001</v>
      </c>
      <c r="F915" s="4">
        <f>CHOOSE( CONTROL!$C$32, 32.3362, 32.3351) * CHOOSE(CONTROL!$C$15, $D$11, 100%, $F$11)</f>
        <v>32.336199999999998</v>
      </c>
      <c r="G915" s="8">
        <f>CHOOSE( CONTROL!$C$32, 31.3116, 31.3106) * CHOOSE( CONTROL!$C$15, $D$11, 100%, $F$11)</f>
        <v>31.311599999999999</v>
      </c>
      <c r="H915" s="4">
        <f>CHOOSE( CONTROL!$C$32, 32.2042, 32.2031) * CHOOSE(CONTROL!$C$15, $D$11, 100%, $F$11)</f>
        <v>32.2042</v>
      </c>
      <c r="I915" s="8">
        <f>CHOOSE( CONTROL!$C$32, 30.9241, 30.923) * CHOOSE(CONTROL!$C$15, $D$11, 100%, $F$11)</f>
        <v>30.924099999999999</v>
      </c>
      <c r="J915" s="4">
        <f>CHOOSE( CONTROL!$C$32, 30.7279, 30.7269) * CHOOSE(CONTROL!$C$15, $D$11, 100%, $F$11)</f>
        <v>30.727900000000002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69033</v>
      </c>
      <c r="B916" s="8">
        <f>CHOOSE( CONTROL!$C$32, 31.6134, 31.6123) * CHOOSE(CONTROL!$C$15, $D$11, 100%, $F$11)</f>
        <v>31.613399999999999</v>
      </c>
      <c r="C916" s="8">
        <f>CHOOSE( CONTROL!$C$32, 31.6184, 31.6174) * CHOOSE(CONTROL!$C$15, $D$11, 100%, $F$11)</f>
        <v>31.618400000000001</v>
      </c>
      <c r="D916" s="8">
        <f>CHOOSE( CONTROL!$C$32, 31.6021, 31.601) * CHOOSE( CONTROL!$C$15, $D$11, 100%, $F$11)</f>
        <v>31.6021</v>
      </c>
      <c r="E916" s="12">
        <f>CHOOSE( CONTROL!$C$32, 31.6075, 31.6065) * CHOOSE( CONTROL!$C$15, $D$11, 100%, $F$11)</f>
        <v>31.607500000000002</v>
      </c>
      <c r="F916" s="4">
        <f>CHOOSE( CONTROL!$C$32, 32.2786, 32.2776) * CHOOSE(CONTROL!$C$15, $D$11, 100%, $F$11)</f>
        <v>32.278599999999997</v>
      </c>
      <c r="G916" s="8">
        <f>CHOOSE( CONTROL!$C$32, 31.2558, 31.2547) * CHOOSE( CONTROL!$C$15, $D$11, 100%, $F$11)</f>
        <v>31.255800000000001</v>
      </c>
      <c r="H916" s="4">
        <f>CHOOSE( CONTROL!$C$32, 32.1473, 32.1462) * CHOOSE(CONTROL!$C$15, $D$11, 100%, $F$11)</f>
        <v>32.147300000000001</v>
      </c>
      <c r="I916" s="8">
        <f>CHOOSE( CONTROL!$C$32, 30.8727, 30.8716) * CHOOSE(CONTROL!$C$15, $D$11, 100%, $F$11)</f>
        <v>30.872699999999998</v>
      </c>
      <c r="J916" s="4">
        <f>CHOOSE( CONTROL!$C$32, 30.672, 30.671) * CHOOSE(CONTROL!$C$15, $D$11, 100%, $F$11)</f>
        <v>30.672000000000001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69064</v>
      </c>
      <c r="B917" s="8">
        <f>CHOOSE( CONTROL!$C$32, 32.5456, 32.5445) * CHOOSE(CONTROL!$C$15, $D$11, 100%, $F$11)</f>
        <v>32.5456</v>
      </c>
      <c r="C917" s="8">
        <f>CHOOSE( CONTROL!$C$32, 32.5506, 32.5496) * CHOOSE(CONTROL!$C$15, $D$11, 100%, $F$11)</f>
        <v>32.550600000000003</v>
      </c>
      <c r="D917" s="8">
        <f>CHOOSE( CONTROL!$C$32, 32.5294, 32.5283) * CHOOSE( CONTROL!$C$15, $D$11, 100%, $F$11)</f>
        <v>32.529400000000003</v>
      </c>
      <c r="E917" s="12">
        <f>CHOOSE( CONTROL!$C$32, 32.5366, 32.5355) * CHOOSE( CONTROL!$C$15, $D$11, 100%, $F$11)</f>
        <v>32.5366</v>
      </c>
      <c r="F917" s="4">
        <f>CHOOSE( CONTROL!$C$32, 33.2108, 33.2098) * CHOOSE(CONTROL!$C$15, $D$11, 100%, $F$11)</f>
        <v>33.210799999999999</v>
      </c>
      <c r="G917" s="8">
        <f>CHOOSE( CONTROL!$C$32, 32.1665, 32.1655) * CHOOSE( CONTROL!$C$15, $D$11, 100%, $F$11)</f>
        <v>32.166499999999999</v>
      </c>
      <c r="H917" s="4">
        <f>CHOOSE( CONTROL!$C$32, 33.0686, 33.0675) * CHOOSE(CONTROL!$C$15, $D$11, 100%, $F$11)</f>
        <v>33.068600000000004</v>
      </c>
      <c r="I917" s="8">
        <f>CHOOSE( CONTROL!$C$32, 31.7398, 31.7388) * CHOOSE(CONTROL!$C$15, $D$11, 100%, $F$11)</f>
        <v>31.739799999999999</v>
      </c>
      <c r="J917" s="4">
        <f>CHOOSE( CONTROL!$C$32, 31.5767, 31.5757) * CHOOSE(CONTROL!$C$15, $D$11, 100%, $F$11)</f>
        <v>31.576699999999999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69092</v>
      </c>
      <c r="B918" s="8">
        <f>CHOOSE( CONTROL!$C$32, 30.4422, 30.4411) * CHOOSE(CONTROL!$C$15, $D$11, 100%, $F$11)</f>
        <v>30.4422</v>
      </c>
      <c r="C918" s="8">
        <f>CHOOSE( CONTROL!$C$32, 30.4473, 30.4462) * CHOOSE(CONTROL!$C$15, $D$11, 100%, $F$11)</f>
        <v>30.447299999999998</v>
      </c>
      <c r="D918" s="8">
        <f>CHOOSE( CONTROL!$C$32, 30.4259, 30.4248) * CHOOSE( CONTROL!$C$15, $D$11, 100%, $F$11)</f>
        <v>30.425899999999999</v>
      </c>
      <c r="E918" s="12">
        <f>CHOOSE( CONTROL!$C$32, 30.4332, 30.4321) * CHOOSE( CONTROL!$C$15, $D$11, 100%, $F$11)</f>
        <v>30.433199999999999</v>
      </c>
      <c r="F918" s="4">
        <f>CHOOSE( CONTROL!$C$32, 31.1075, 31.1064) * CHOOSE(CONTROL!$C$15, $D$11, 100%, $F$11)</f>
        <v>31.107500000000002</v>
      </c>
      <c r="G918" s="8">
        <f>CHOOSE( CONTROL!$C$32, 30.0877, 30.0867) * CHOOSE( CONTROL!$C$15, $D$11, 100%, $F$11)</f>
        <v>30.087700000000002</v>
      </c>
      <c r="H918" s="4">
        <f>CHOOSE( CONTROL!$C$32, 30.9898, 30.9888) * CHOOSE(CONTROL!$C$15, $D$11, 100%, $F$11)</f>
        <v>30.989799999999999</v>
      </c>
      <c r="I918" s="8">
        <f>CHOOSE( CONTROL!$C$32, 29.6971, 29.6961) * CHOOSE(CONTROL!$C$15, $D$11, 100%, $F$11)</f>
        <v>29.697099999999999</v>
      </c>
      <c r="J918" s="4">
        <f>CHOOSE( CONTROL!$C$32, 29.5354, 29.5344) * CHOOSE(CONTROL!$C$15, $D$11, 100%, $F$11)</f>
        <v>29.535399999999999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69123</v>
      </c>
      <c r="B919" s="8">
        <f>CHOOSE( CONTROL!$C$32, 29.7944, 29.7933) * CHOOSE(CONTROL!$C$15, $D$11, 100%, $F$11)</f>
        <v>29.7944</v>
      </c>
      <c r="C919" s="8">
        <f>CHOOSE( CONTROL!$C$32, 29.7994, 29.7984) * CHOOSE(CONTROL!$C$15, $D$11, 100%, $F$11)</f>
        <v>29.799399999999999</v>
      </c>
      <c r="D919" s="8">
        <f>CHOOSE( CONTROL!$C$32, 29.7774, 29.7763) * CHOOSE( CONTROL!$C$15, $D$11, 100%, $F$11)</f>
        <v>29.7774</v>
      </c>
      <c r="E919" s="12">
        <f>CHOOSE( CONTROL!$C$32, 29.7849, 29.7838) * CHOOSE( CONTROL!$C$15, $D$11, 100%, $F$11)</f>
        <v>29.7849</v>
      </c>
      <c r="F919" s="4">
        <f>CHOOSE( CONTROL!$C$32, 30.4597, 30.4586) * CHOOSE(CONTROL!$C$15, $D$11, 100%, $F$11)</f>
        <v>30.459700000000002</v>
      </c>
      <c r="G919" s="8">
        <f>CHOOSE( CONTROL!$C$32, 29.447, 29.446) * CHOOSE( CONTROL!$C$15, $D$11, 100%, $F$11)</f>
        <v>29.446999999999999</v>
      </c>
      <c r="H919" s="4">
        <f>CHOOSE( CONTROL!$C$32, 30.3496, 30.3485) * CHOOSE(CONTROL!$C$15, $D$11, 100%, $F$11)</f>
        <v>30.349599999999999</v>
      </c>
      <c r="I919" s="8">
        <f>CHOOSE( CONTROL!$C$32, 29.0661, 29.065) * CHOOSE(CONTROL!$C$15, $D$11, 100%, $F$11)</f>
        <v>29.066099999999999</v>
      </c>
      <c r="J919" s="4">
        <f>CHOOSE( CONTROL!$C$32, 28.9067, 28.9056) * CHOOSE(CONTROL!$C$15, $D$11, 100%, $F$11)</f>
        <v>28.906700000000001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69153</v>
      </c>
      <c r="B920" s="8">
        <f>CHOOSE( CONTROL!$C$32, 30.2478, 30.2467) * CHOOSE(CONTROL!$C$15, $D$11, 100%, $F$11)</f>
        <v>30.247800000000002</v>
      </c>
      <c r="C920" s="8">
        <f>CHOOSE( CONTROL!$C$32, 30.2523, 30.2512) * CHOOSE(CONTROL!$C$15, $D$11, 100%, $F$11)</f>
        <v>30.252300000000002</v>
      </c>
      <c r="D920" s="8">
        <f>CHOOSE( CONTROL!$C$32, 30.2552, 30.2541) * CHOOSE( CONTROL!$C$15, $D$11, 100%, $F$11)</f>
        <v>30.255199999999999</v>
      </c>
      <c r="E920" s="12">
        <f>CHOOSE( CONTROL!$C$32, 30.2537, 30.2526) * CHOOSE( CONTROL!$C$15, $D$11, 100%, $F$11)</f>
        <v>30.253699999999998</v>
      </c>
      <c r="F920" s="4">
        <f>CHOOSE( CONTROL!$C$32, 30.9561, 30.9551) * CHOOSE(CONTROL!$C$15, $D$11, 100%, $F$11)</f>
        <v>30.956099999999999</v>
      </c>
      <c r="G920" s="8">
        <f>CHOOSE( CONTROL!$C$32, 29.9049, 29.9038) * CHOOSE( CONTROL!$C$15, $D$11, 100%, $F$11)</f>
        <v>29.904900000000001</v>
      </c>
      <c r="H920" s="4">
        <f>CHOOSE( CONTROL!$C$32, 30.8403, 30.8392) * CHOOSE(CONTROL!$C$15, $D$11, 100%, $F$11)</f>
        <v>30.840299999999999</v>
      </c>
      <c r="I920" s="8">
        <f>CHOOSE( CONTROL!$C$32, 29.4779, 29.4768) * CHOOSE(CONTROL!$C$15, $D$11, 100%, $F$11)</f>
        <v>29.477900000000002</v>
      </c>
      <c r="J920" s="4">
        <f>CHOOSE( CONTROL!$C$32, 29.346, 29.345) * CHOOSE(CONTROL!$C$15, $D$11, 100%, $F$11)</f>
        <v>29.346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1.2509999999999999</v>
      </c>
      <c r="Q920" s="9">
        <v>19.053000000000001</v>
      </c>
      <c r="R920" s="9"/>
      <c r="S920" s="11"/>
    </row>
    <row r="921" spans="1:19" ht="15.75">
      <c r="A921" s="13">
        <v>69184</v>
      </c>
      <c r="B921" s="8">
        <f>CHOOSE( CONTROL!$C$32, 31.0554, 31.0538) * CHOOSE(CONTROL!$C$15, $D$11, 100%, $F$11)</f>
        <v>31.055399999999999</v>
      </c>
      <c r="C921" s="8">
        <f>CHOOSE( CONTROL!$C$32, 31.0634, 31.0618) * CHOOSE(CONTROL!$C$15, $D$11, 100%, $F$11)</f>
        <v>31.063400000000001</v>
      </c>
      <c r="D921" s="8">
        <f>CHOOSE( CONTROL!$C$32, 31.0602, 31.0585) * CHOOSE( CONTROL!$C$15, $D$11, 100%, $F$11)</f>
        <v>31.060199999999998</v>
      </c>
      <c r="E921" s="12">
        <f>CHOOSE( CONTROL!$C$32, 31.0601, 31.0585) * CHOOSE( CONTROL!$C$15, $D$11, 100%, $F$11)</f>
        <v>31.060099999999998</v>
      </c>
      <c r="F921" s="4">
        <f>CHOOSE( CONTROL!$C$32, 31.7624, 31.7607) * CHOOSE(CONTROL!$C$15, $D$11, 100%, $F$11)</f>
        <v>31.7624</v>
      </c>
      <c r="G921" s="8">
        <f>CHOOSE( CONTROL!$C$32, 30.7016, 30.6999) * CHOOSE( CONTROL!$C$15, $D$11, 100%, $F$11)</f>
        <v>30.701599999999999</v>
      </c>
      <c r="H921" s="4">
        <f>CHOOSE( CONTROL!$C$32, 31.6371, 31.6354) * CHOOSE(CONTROL!$C$15, $D$11, 100%, $F$11)</f>
        <v>31.6371</v>
      </c>
      <c r="I921" s="8">
        <f>CHOOSE( CONTROL!$C$32, 30.26, 30.2584) * CHOOSE(CONTROL!$C$15, $D$11, 100%, $F$11)</f>
        <v>30.26</v>
      </c>
      <c r="J921" s="4">
        <f>CHOOSE( CONTROL!$C$32, 30.1285, 30.1269) * CHOOSE(CONTROL!$C$15, $D$11, 100%, $F$11)</f>
        <v>30.128499999999999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1.2927</v>
      </c>
      <c r="Q921" s="9">
        <v>19.688099999999999</v>
      </c>
      <c r="R921" s="9"/>
      <c r="S921" s="11"/>
    </row>
    <row r="922" spans="1:19" ht="15.75">
      <c r="A922" s="13">
        <v>69214</v>
      </c>
      <c r="B922" s="8">
        <f>CHOOSE( CONTROL!$C$32, 30.5564, 30.5547) * CHOOSE(CONTROL!$C$15, $D$11, 100%, $F$11)</f>
        <v>30.5564</v>
      </c>
      <c r="C922" s="8">
        <f>CHOOSE( CONTROL!$C$32, 30.5643, 30.5627) * CHOOSE(CONTROL!$C$15, $D$11, 100%, $F$11)</f>
        <v>30.564299999999999</v>
      </c>
      <c r="D922" s="8">
        <f>CHOOSE( CONTROL!$C$32, 30.5613, 30.5596) * CHOOSE( CONTROL!$C$15, $D$11, 100%, $F$11)</f>
        <v>30.561299999999999</v>
      </c>
      <c r="E922" s="12">
        <f>CHOOSE( CONTROL!$C$32, 30.5612, 30.5595) * CHOOSE( CONTROL!$C$15, $D$11, 100%, $F$11)</f>
        <v>30.561199999999999</v>
      </c>
      <c r="F922" s="4">
        <f>CHOOSE( CONTROL!$C$32, 31.2633, 31.2616) * CHOOSE(CONTROL!$C$15, $D$11, 100%, $F$11)</f>
        <v>31.263300000000001</v>
      </c>
      <c r="G922" s="8">
        <f>CHOOSE( CONTROL!$C$32, 30.2085, 30.2069) * CHOOSE( CONTROL!$C$15, $D$11, 100%, $F$11)</f>
        <v>30.208500000000001</v>
      </c>
      <c r="H922" s="4">
        <f>CHOOSE( CONTROL!$C$32, 31.1438, 31.1422) * CHOOSE(CONTROL!$C$15, $D$11, 100%, $F$11)</f>
        <v>31.143799999999999</v>
      </c>
      <c r="I922" s="8">
        <f>CHOOSE( CONTROL!$C$32, 29.7762, 29.7746) * CHOOSE(CONTROL!$C$15, $D$11, 100%, $F$11)</f>
        <v>29.776199999999999</v>
      </c>
      <c r="J922" s="4">
        <f>CHOOSE( CONTROL!$C$32, 29.6441, 29.6425) * CHOOSE(CONTROL!$C$15, $D$11, 100%, $F$11)</f>
        <v>29.644100000000002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1.2509999999999999</v>
      </c>
      <c r="Q922" s="9">
        <v>19.053000000000001</v>
      </c>
      <c r="R922" s="9"/>
      <c r="S922" s="11"/>
    </row>
    <row r="923" spans="1:19" ht="15.75">
      <c r="A923" s="13">
        <v>69245</v>
      </c>
      <c r="B923" s="8">
        <f>CHOOSE( CONTROL!$C$32, 31.8707, 31.869) * CHOOSE(CONTROL!$C$15, $D$11, 100%, $F$11)</f>
        <v>31.870699999999999</v>
      </c>
      <c r="C923" s="8">
        <f>CHOOSE( CONTROL!$C$32, 31.8786, 31.877) * CHOOSE(CONTROL!$C$15, $D$11, 100%, $F$11)</f>
        <v>31.878599999999999</v>
      </c>
      <c r="D923" s="8">
        <f>CHOOSE( CONTROL!$C$32, 31.8758, 31.8742) * CHOOSE( CONTROL!$C$15, $D$11, 100%, $F$11)</f>
        <v>31.875800000000002</v>
      </c>
      <c r="E923" s="12">
        <f>CHOOSE( CONTROL!$C$32, 31.8756, 31.874) * CHOOSE( CONTROL!$C$15, $D$11, 100%, $F$11)</f>
        <v>31.875599999999999</v>
      </c>
      <c r="F923" s="4">
        <f>CHOOSE( CONTROL!$C$32, 32.5776, 32.5759) * CHOOSE(CONTROL!$C$15, $D$11, 100%, $F$11)</f>
        <v>32.577599999999997</v>
      </c>
      <c r="G923" s="8">
        <f>CHOOSE( CONTROL!$C$32, 31.5076, 31.506) * CHOOSE( CONTROL!$C$15, $D$11, 100%, $F$11)</f>
        <v>31.5076</v>
      </c>
      <c r="H923" s="4">
        <f>CHOOSE( CONTROL!$C$32, 32.4427, 32.4411) * CHOOSE(CONTROL!$C$15, $D$11, 100%, $F$11)</f>
        <v>32.442700000000002</v>
      </c>
      <c r="I923" s="8">
        <f>CHOOSE( CONTROL!$C$32, 31.0532, 31.0516) * CHOOSE(CONTROL!$C$15, $D$11, 100%, $F$11)</f>
        <v>31.0532</v>
      </c>
      <c r="J923" s="4">
        <f>CHOOSE( CONTROL!$C$32, 30.9196, 30.918) * CHOOSE(CONTROL!$C$15, $D$11, 100%, $F$11)</f>
        <v>30.919599999999999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1.2927</v>
      </c>
      <c r="Q923" s="9">
        <v>19.688099999999999</v>
      </c>
      <c r="R923" s="9"/>
      <c r="S923" s="11"/>
    </row>
    <row r="924" spans="1:19" ht="15.75">
      <c r="A924" s="13">
        <v>69276</v>
      </c>
      <c r="B924" s="8">
        <f>CHOOSE( CONTROL!$C$32, 29.4115, 29.4098) * CHOOSE(CONTROL!$C$15, $D$11, 100%, $F$11)</f>
        <v>29.4115</v>
      </c>
      <c r="C924" s="8">
        <f>CHOOSE( CONTROL!$C$32, 29.4194, 29.4178) * CHOOSE(CONTROL!$C$15, $D$11, 100%, $F$11)</f>
        <v>29.4194</v>
      </c>
      <c r="D924" s="8">
        <f>CHOOSE( CONTROL!$C$32, 29.4167, 29.4151) * CHOOSE( CONTROL!$C$15, $D$11, 100%, $F$11)</f>
        <v>29.416699999999999</v>
      </c>
      <c r="E924" s="12">
        <f>CHOOSE( CONTROL!$C$32, 29.4165, 29.4149) * CHOOSE( CONTROL!$C$15, $D$11, 100%, $F$11)</f>
        <v>29.416499999999999</v>
      </c>
      <c r="F924" s="4">
        <f>CHOOSE( CONTROL!$C$32, 30.1184, 30.1167) * CHOOSE(CONTROL!$C$15, $D$11, 100%, $F$11)</f>
        <v>30.118400000000001</v>
      </c>
      <c r="G924" s="8">
        <f>CHOOSE( CONTROL!$C$32, 29.0773, 29.0756) * CHOOSE( CONTROL!$C$15, $D$11, 100%, $F$11)</f>
        <v>29.077300000000001</v>
      </c>
      <c r="H924" s="4">
        <f>CHOOSE( CONTROL!$C$32, 30.0123, 30.0107) * CHOOSE(CONTROL!$C$15, $D$11, 100%, $F$11)</f>
        <v>30.0123</v>
      </c>
      <c r="I924" s="8">
        <f>CHOOSE( CONTROL!$C$32, 28.6657, 28.6641) * CHOOSE(CONTROL!$C$15, $D$11, 100%, $F$11)</f>
        <v>28.665700000000001</v>
      </c>
      <c r="J924" s="4">
        <f>CHOOSE( CONTROL!$C$32, 28.533, 28.5314) * CHOOSE(CONTROL!$C$15, $D$11, 100%, $F$11)</f>
        <v>28.533000000000001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1.2927</v>
      </c>
      <c r="Q924" s="9">
        <v>19.688099999999999</v>
      </c>
      <c r="R924" s="9"/>
      <c r="S924" s="11"/>
    </row>
    <row r="925" spans="1:19" ht="15.75">
      <c r="A925" s="13">
        <v>69306</v>
      </c>
      <c r="B925" s="8">
        <f>CHOOSE( CONTROL!$C$32, 28.7956, 28.794) * CHOOSE(CONTROL!$C$15, $D$11, 100%, $F$11)</f>
        <v>28.7956</v>
      </c>
      <c r="C925" s="8">
        <f>CHOOSE( CONTROL!$C$32, 28.8036, 28.802) * CHOOSE(CONTROL!$C$15, $D$11, 100%, $F$11)</f>
        <v>28.803599999999999</v>
      </c>
      <c r="D925" s="8">
        <f>CHOOSE( CONTROL!$C$32, 28.8009, 28.7992) * CHOOSE( CONTROL!$C$15, $D$11, 100%, $F$11)</f>
        <v>28.800899999999999</v>
      </c>
      <c r="E925" s="12">
        <f>CHOOSE( CONTROL!$C$32, 28.8007, 28.799) * CHOOSE( CONTROL!$C$15, $D$11, 100%, $F$11)</f>
        <v>28.800699999999999</v>
      </c>
      <c r="F925" s="4">
        <f>CHOOSE( CONTROL!$C$32, 29.5026, 29.5009) * CHOOSE(CONTROL!$C$15, $D$11, 100%, $F$11)</f>
        <v>29.502600000000001</v>
      </c>
      <c r="G925" s="8">
        <f>CHOOSE( CONTROL!$C$32, 28.4686, 28.467) * CHOOSE( CONTROL!$C$15, $D$11, 100%, $F$11)</f>
        <v>28.468599999999999</v>
      </c>
      <c r="H925" s="4">
        <f>CHOOSE( CONTROL!$C$32, 29.4037, 29.4021) * CHOOSE(CONTROL!$C$15, $D$11, 100%, $F$11)</f>
        <v>29.403700000000001</v>
      </c>
      <c r="I925" s="8">
        <f>CHOOSE( CONTROL!$C$32, 28.0676, 28.066) * CHOOSE(CONTROL!$C$15, $D$11, 100%, $F$11)</f>
        <v>28.067599999999999</v>
      </c>
      <c r="J925" s="4">
        <f>CHOOSE( CONTROL!$C$32, 27.9354, 27.9337) * CHOOSE(CONTROL!$C$15, $D$11, 100%, $F$11)</f>
        <v>27.935400000000001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1.2509999999999999</v>
      </c>
      <c r="Q925" s="9">
        <v>19.053000000000001</v>
      </c>
      <c r="R925" s="9"/>
      <c r="S925" s="11"/>
    </row>
    <row r="926" spans="1:19" ht="15.75">
      <c r="A926" s="13">
        <v>69337</v>
      </c>
      <c r="B926" s="8">
        <f>CHOOSE( CONTROL!$C$32, 30.072, 30.0709) * CHOOSE(CONTROL!$C$15, $D$11, 100%, $F$11)</f>
        <v>30.071999999999999</v>
      </c>
      <c r="C926" s="8">
        <f>CHOOSE( CONTROL!$C$32, 30.0773, 30.0762) * CHOOSE(CONTROL!$C$15, $D$11, 100%, $F$11)</f>
        <v>30.077300000000001</v>
      </c>
      <c r="D926" s="8">
        <f>CHOOSE( CONTROL!$C$32, 30.0802, 30.0791) * CHOOSE( CONTROL!$C$15, $D$11, 100%, $F$11)</f>
        <v>30.080200000000001</v>
      </c>
      <c r="E926" s="12">
        <f>CHOOSE( CONTROL!$C$32, 30.0787, 30.0776) * CHOOSE( CONTROL!$C$15, $D$11, 100%, $F$11)</f>
        <v>30.078700000000001</v>
      </c>
      <c r="F926" s="4">
        <f>CHOOSE( CONTROL!$C$32, 30.7807, 30.7796) * CHOOSE(CONTROL!$C$15, $D$11, 100%, $F$11)</f>
        <v>30.7807</v>
      </c>
      <c r="G926" s="8">
        <f>CHOOSE( CONTROL!$C$32, 29.7319, 29.7308) * CHOOSE( CONTROL!$C$15, $D$11, 100%, $F$11)</f>
        <v>29.7319</v>
      </c>
      <c r="H926" s="4">
        <f>CHOOSE( CONTROL!$C$32, 30.6668, 30.6658) * CHOOSE(CONTROL!$C$15, $D$11, 100%, $F$11)</f>
        <v>30.666799999999999</v>
      </c>
      <c r="I926" s="8">
        <f>CHOOSE( CONTROL!$C$32, 29.3094, 29.3083) * CHOOSE(CONTROL!$C$15, $D$11, 100%, $F$11)</f>
        <v>29.3094</v>
      </c>
      <c r="J926" s="4">
        <f>CHOOSE( CONTROL!$C$32, 29.1757, 29.1747) * CHOOSE(CONTROL!$C$15, $D$11, 100%, $F$11)</f>
        <v>29.175699999999999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1.2927</v>
      </c>
      <c r="Q926" s="9">
        <v>19.688099999999999</v>
      </c>
      <c r="R926" s="9"/>
      <c r="S926" s="11"/>
    </row>
    <row r="927" spans="1:19" ht="15.75">
      <c r="A927" s="13">
        <v>69367</v>
      </c>
      <c r="B927" s="8">
        <f>CHOOSE( CONTROL!$C$32, 32.4317, 32.4306) * CHOOSE(CONTROL!$C$15, $D$11, 100%, $F$11)</f>
        <v>32.431699999999999</v>
      </c>
      <c r="C927" s="8">
        <f>CHOOSE( CONTROL!$C$32, 32.4368, 32.4357) * CHOOSE(CONTROL!$C$15, $D$11, 100%, $F$11)</f>
        <v>32.436799999999998</v>
      </c>
      <c r="D927" s="8">
        <f>CHOOSE( CONTROL!$C$32, 32.4189, 32.4179) * CHOOSE( CONTROL!$C$15, $D$11, 100%, $F$11)</f>
        <v>32.418900000000001</v>
      </c>
      <c r="E927" s="12">
        <f>CHOOSE( CONTROL!$C$32, 32.4249, 32.4239) * CHOOSE( CONTROL!$C$15, $D$11, 100%, $F$11)</f>
        <v>32.424900000000001</v>
      </c>
      <c r="F927" s="4">
        <f>CHOOSE( CONTROL!$C$32, 33.097, 33.0959) * CHOOSE(CONTROL!$C$15, $D$11, 100%, $F$11)</f>
        <v>33.097000000000001</v>
      </c>
      <c r="G927" s="8">
        <f>CHOOSE( CONTROL!$C$32, 32.0635, 32.0624) * CHOOSE( CONTROL!$C$15, $D$11, 100%, $F$11)</f>
        <v>32.063499999999998</v>
      </c>
      <c r="H927" s="4">
        <f>CHOOSE( CONTROL!$C$32, 32.956, 32.9549) * CHOOSE(CONTROL!$C$15, $D$11, 100%, $F$11)</f>
        <v>32.956000000000003</v>
      </c>
      <c r="I927" s="8">
        <f>CHOOSE( CONTROL!$C$32, 31.6628, 31.6617) * CHOOSE(CONTROL!$C$15, $D$11, 100%, $F$11)</f>
        <v>31.662800000000001</v>
      </c>
      <c r="J927" s="4">
        <f>CHOOSE( CONTROL!$C$32, 31.4662, 31.4651) * CHOOSE(CONTROL!$C$15, $D$11, 100%, $F$11)</f>
        <v>31.466200000000001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69398</v>
      </c>
      <c r="B928" s="8">
        <f>CHOOSE( CONTROL!$C$32, 32.3727, 32.3716) * CHOOSE(CONTROL!$C$15, $D$11, 100%, $F$11)</f>
        <v>32.372700000000002</v>
      </c>
      <c r="C928" s="8">
        <f>CHOOSE( CONTROL!$C$32, 32.3778, 32.3767) * CHOOSE(CONTROL!$C$15, $D$11, 100%, $F$11)</f>
        <v>32.377800000000001</v>
      </c>
      <c r="D928" s="8">
        <f>CHOOSE( CONTROL!$C$32, 32.3614, 32.3603) * CHOOSE( CONTROL!$C$15, $D$11, 100%, $F$11)</f>
        <v>32.361400000000003</v>
      </c>
      <c r="E928" s="12">
        <f>CHOOSE( CONTROL!$C$32, 32.3669, 32.3658) * CHOOSE( CONTROL!$C$15, $D$11, 100%, $F$11)</f>
        <v>32.366900000000001</v>
      </c>
      <c r="F928" s="4">
        <f>CHOOSE( CONTROL!$C$32, 33.038, 33.0369) * CHOOSE(CONTROL!$C$15, $D$11, 100%, $F$11)</f>
        <v>33.037999999999997</v>
      </c>
      <c r="G928" s="8">
        <f>CHOOSE( CONTROL!$C$32, 32.0062, 32.0051) * CHOOSE( CONTROL!$C$15, $D$11, 100%, $F$11)</f>
        <v>32.0062</v>
      </c>
      <c r="H928" s="4">
        <f>CHOOSE( CONTROL!$C$32, 32.8977, 32.8967) * CHOOSE(CONTROL!$C$15, $D$11, 100%, $F$11)</f>
        <v>32.8977</v>
      </c>
      <c r="I928" s="8">
        <f>CHOOSE( CONTROL!$C$32, 31.61, 31.6089) * CHOOSE(CONTROL!$C$15, $D$11, 100%, $F$11)</f>
        <v>31.61</v>
      </c>
      <c r="J928" s="4">
        <f>CHOOSE( CONTROL!$C$32, 31.409, 31.4079) * CHOOSE(CONTROL!$C$15, $D$11, 100%, $F$11)</f>
        <v>31.408999999999999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69429</v>
      </c>
      <c r="B929" s="8">
        <f>CHOOSE( CONTROL!$C$32, 33.3273, 33.3262) * CHOOSE(CONTROL!$C$15, $D$11, 100%, $F$11)</f>
        <v>33.327300000000001</v>
      </c>
      <c r="C929" s="8">
        <f>CHOOSE( CONTROL!$C$32, 33.3324, 33.3313) * CHOOSE(CONTROL!$C$15, $D$11, 100%, $F$11)</f>
        <v>33.3324</v>
      </c>
      <c r="D929" s="8">
        <f>CHOOSE( CONTROL!$C$32, 33.3111, 33.31) * CHOOSE( CONTROL!$C$15, $D$11, 100%, $F$11)</f>
        <v>33.311100000000003</v>
      </c>
      <c r="E929" s="12">
        <f>CHOOSE( CONTROL!$C$32, 33.3183, 33.3172) * CHOOSE( CONTROL!$C$15, $D$11, 100%, $F$11)</f>
        <v>33.318300000000001</v>
      </c>
      <c r="F929" s="4">
        <f>CHOOSE( CONTROL!$C$32, 33.9926, 33.9915) * CHOOSE(CONTROL!$C$15, $D$11, 100%, $F$11)</f>
        <v>33.992600000000003</v>
      </c>
      <c r="G929" s="8">
        <f>CHOOSE( CONTROL!$C$32, 32.9391, 32.9381) * CHOOSE( CONTROL!$C$15, $D$11, 100%, $F$11)</f>
        <v>32.939100000000003</v>
      </c>
      <c r="H929" s="4">
        <f>CHOOSE( CONTROL!$C$32, 33.8412, 33.8401) * CHOOSE(CONTROL!$C$15, $D$11, 100%, $F$11)</f>
        <v>33.841200000000001</v>
      </c>
      <c r="I929" s="8">
        <f>CHOOSE( CONTROL!$C$32, 32.4989, 32.4979) * CHOOSE(CONTROL!$C$15, $D$11, 100%, $F$11)</f>
        <v>32.498899999999999</v>
      </c>
      <c r="J929" s="4">
        <f>CHOOSE( CONTROL!$C$32, 32.3354, 32.3343) * CHOOSE(CONTROL!$C$15, $D$11, 100%, $F$11)</f>
        <v>32.3354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69457</v>
      </c>
      <c r="B930" s="8">
        <f>CHOOSE( CONTROL!$C$32, 31.1734, 31.1723) * CHOOSE(CONTROL!$C$15, $D$11, 100%, $F$11)</f>
        <v>31.173400000000001</v>
      </c>
      <c r="C930" s="8">
        <f>CHOOSE( CONTROL!$C$32, 31.1785, 31.1774) * CHOOSE(CONTROL!$C$15, $D$11, 100%, $F$11)</f>
        <v>31.1785</v>
      </c>
      <c r="D930" s="8">
        <f>CHOOSE( CONTROL!$C$32, 31.1571, 31.156) * CHOOSE( CONTROL!$C$15, $D$11, 100%, $F$11)</f>
        <v>31.1571</v>
      </c>
      <c r="E930" s="12">
        <f>CHOOSE( CONTROL!$C$32, 31.1644, 31.1633) * CHOOSE( CONTROL!$C$15, $D$11, 100%, $F$11)</f>
        <v>31.164400000000001</v>
      </c>
      <c r="F930" s="4">
        <f>CHOOSE( CONTROL!$C$32, 31.8387, 31.8376) * CHOOSE(CONTROL!$C$15, $D$11, 100%, $F$11)</f>
        <v>31.838699999999999</v>
      </c>
      <c r="G930" s="8">
        <f>CHOOSE( CONTROL!$C$32, 30.8104, 30.8093) * CHOOSE( CONTROL!$C$15, $D$11, 100%, $F$11)</f>
        <v>30.810400000000001</v>
      </c>
      <c r="H930" s="4">
        <f>CHOOSE( CONTROL!$C$32, 31.7125, 31.7114) * CHOOSE(CONTROL!$C$15, $D$11, 100%, $F$11)</f>
        <v>31.712499999999999</v>
      </c>
      <c r="I930" s="8">
        <f>CHOOSE( CONTROL!$C$32, 30.4071, 30.406) * CHOOSE(CONTROL!$C$15, $D$11, 100%, $F$11)</f>
        <v>30.4071</v>
      </c>
      <c r="J930" s="4">
        <f>CHOOSE( CONTROL!$C$32, 30.245, 30.244) * CHOOSE(CONTROL!$C$15, $D$11, 100%, $F$11)</f>
        <v>30.245000000000001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69488</v>
      </c>
      <c r="B931" s="8">
        <f>CHOOSE( CONTROL!$C$32, 30.51, 30.5089) * CHOOSE(CONTROL!$C$15, $D$11, 100%, $F$11)</f>
        <v>30.51</v>
      </c>
      <c r="C931" s="8">
        <f>CHOOSE( CONTROL!$C$32, 30.5151, 30.514) * CHOOSE(CONTROL!$C$15, $D$11, 100%, $F$11)</f>
        <v>30.5151</v>
      </c>
      <c r="D931" s="8">
        <f>CHOOSE( CONTROL!$C$32, 30.493, 30.4919) * CHOOSE( CONTROL!$C$15, $D$11, 100%, $F$11)</f>
        <v>30.492999999999999</v>
      </c>
      <c r="E931" s="12">
        <f>CHOOSE( CONTROL!$C$32, 30.5005, 30.4994) * CHOOSE( CONTROL!$C$15, $D$11, 100%, $F$11)</f>
        <v>30.500499999999999</v>
      </c>
      <c r="F931" s="4">
        <f>CHOOSE( CONTROL!$C$32, 31.1753, 31.1742) * CHOOSE(CONTROL!$C$15, $D$11, 100%, $F$11)</f>
        <v>31.1753</v>
      </c>
      <c r="G931" s="8">
        <f>CHOOSE( CONTROL!$C$32, 30.1543, 30.1532) * CHOOSE( CONTROL!$C$15, $D$11, 100%, $F$11)</f>
        <v>30.154299999999999</v>
      </c>
      <c r="H931" s="4">
        <f>CHOOSE( CONTROL!$C$32, 31.0568, 31.0558) * CHOOSE(CONTROL!$C$15, $D$11, 100%, $F$11)</f>
        <v>31.056799999999999</v>
      </c>
      <c r="I931" s="8">
        <f>CHOOSE( CONTROL!$C$32, 29.761, 29.7599) * CHOOSE(CONTROL!$C$15, $D$11, 100%, $F$11)</f>
        <v>29.760999999999999</v>
      </c>
      <c r="J931" s="4">
        <f>CHOOSE( CONTROL!$C$32, 29.6012, 29.6002) * CHOOSE(CONTROL!$C$15, $D$11, 100%, $F$11)</f>
        <v>29.601199999999999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69518</v>
      </c>
      <c r="B932" s="8">
        <f>CHOOSE( CONTROL!$C$32, 30.9743, 30.9733) * CHOOSE(CONTROL!$C$15, $D$11, 100%, $F$11)</f>
        <v>30.974299999999999</v>
      </c>
      <c r="C932" s="8">
        <f>CHOOSE( CONTROL!$C$32, 30.9788, 30.9778) * CHOOSE(CONTROL!$C$15, $D$11, 100%, $F$11)</f>
        <v>30.9788</v>
      </c>
      <c r="D932" s="8">
        <f>CHOOSE( CONTROL!$C$32, 30.9817, 30.9806) * CHOOSE( CONTROL!$C$15, $D$11, 100%, $F$11)</f>
        <v>30.9817</v>
      </c>
      <c r="E932" s="12">
        <f>CHOOSE( CONTROL!$C$32, 30.9802, 30.9792) * CHOOSE( CONTROL!$C$15, $D$11, 100%, $F$11)</f>
        <v>30.9802</v>
      </c>
      <c r="F932" s="4">
        <f>CHOOSE( CONTROL!$C$32, 31.6827, 31.6816) * CHOOSE(CONTROL!$C$15, $D$11, 100%, $F$11)</f>
        <v>31.682700000000001</v>
      </c>
      <c r="G932" s="8">
        <f>CHOOSE( CONTROL!$C$32, 30.6229, 30.6218) * CHOOSE( CONTROL!$C$15, $D$11, 100%, $F$11)</f>
        <v>30.622900000000001</v>
      </c>
      <c r="H932" s="4">
        <f>CHOOSE( CONTROL!$C$32, 31.5583, 31.5572) * CHOOSE(CONTROL!$C$15, $D$11, 100%, $F$11)</f>
        <v>31.558299999999999</v>
      </c>
      <c r="I932" s="8">
        <f>CHOOSE( CONTROL!$C$32, 30.1833, 30.1823) * CHOOSE(CONTROL!$C$15, $D$11, 100%, $F$11)</f>
        <v>30.183299999999999</v>
      </c>
      <c r="J932" s="4">
        <f>CHOOSE( CONTROL!$C$32, 30.0511, 30.0501) * CHOOSE(CONTROL!$C$15, $D$11, 100%, $F$11)</f>
        <v>30.051100000000002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1.2509999999999999</v>
      </c>
      <c r="Q932" s="9">
        <v>19.053000000000001</v>
      </c>
      <c r="R932" s="9"/>
      <c r="S932" s="11"/>
    </row>
    <row r="933" spans="1:19" ht="15.75">
      <c r="A933" s="13">
        <v>69549</v>
      </c>
      <c r="B933" s="8">
        <f>CHOOSE( CONTROL!$C$32, 31.8013, 31.7997) * CHOOSE(CONTROL!$C$15, $D$11, 100%, $F$11)</f>
        <v>31.801300000000001</v>
      </c>
      <c r="C933" s="8">
        <f>CHOOSE( CONTROL!$C$32, 31.8093, 31.8076) * CHOOSE(CONTROL!$C$15, $D$11, 100%, $F$11)</f>
        <v>31.8093</v>
      </c>
      <c r="D933" s="8">
        <f>CHOOSE( CONTROL!$C$32, 31.806, 31.8044) * CHOOSE( CONTROL!$C$15, $D$11, 100%, $F$11)</f>
        <v>31.806000000000001</v>
      </c>
      <c r="E933" s="12">
        <f>CHOOSE( CONTROL!$C$32, 31.806, 31.8044) * CHOOSE( CONTROL!$C$15, $D$11, 100%, $F$11)</f>
        <v>31.806000000000001</v>
      </c>
      <c r="F933" s="4">
        <f>CHOOSE( CONTROL!$C$32, 32.5083, 32.5066) * CHOOSE(CONTROL!$C$15, $D$11, 100%, $F$11)</f>
        <v>32.508299999999998</v>
      </c>
      <c r="G933" s="8">
        <f>CHOOSE( CONTROL!$C$32, 31.4387, 31.4371) * CHOOSE( CONTROL!$C$15, $D$11, 100%, $F$11)</f>
        <v>31.438700000000001</v>
      </c>
      <c r="H933" s="4">
        <f>CHOOSE( CONTROL!$C$32, 32.3742, 32.3726) * CHOOSE(CONTROL!$C$15, $D$11, 100%, $F$11)</f>
        <v>32.374200000000002</v>
      </c>
      <c r="I933" s="8">
        <f>CHOOSE( CONTROL!$C$32, 30.9843, 30.9827) * CHOOSE(CONTROL!$C$15, $D$11, 100%, $F$11)</f>
        <v>30.984300000000001</v>
      </c>
      <c r="J933" s="4">
        <f>CHOOSE( CONTROL!$C$32, 30.8524, 30.8508) * CHOOSE(CONTROL!$C$15, $D$11, 100%, $F$11)</f>
        <v>30.852399999999999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1.2927</v>
      </c>
      <c r="Q933" s="9">
        <v>19.688099999999999</v>
      </c>
      <c r="R933" s="9"/>
      <c r="S933" s="11"/>
    </row>
    <row r="934" spans="1:19" ht="15.75">
      <c r="A934" s="13">
        <v>69579</v>
      </c>
      <c r="B934" s="8">
        <f>CHOOSE( CONTROL!$C$32, 31.2902, 31.2886) * CHOOSE(CONTROL!$C$15, $D$11, 100%, $F$11)</f>
        <v>31.290199999999999</v>
      </c>
      <c r="C934" s="8">
        <f>CHOOSE( CONTROL!$C$32, 31.2982, 31.2966) * CHOOSE(CONTROL!$C$15, $D$11, 100%, $F$11)</f>
        <v>31.298200000000001</v>
      </c>
      <c r="D934" s="8">
        <f>CHOOSE( CONTROL!$C$32, 31.2952, 31.2935) * CHOOSE( CONTROL!$C$15, $D$11, 100%, $F$11)</f>
        <v>31.295200000000001</v>
      </c>
      <c r="E934" s="12">
        <f>CHOOSE( CONTROL!$C$32, 31.2951, 31.2934) * CHOOSE( CONTROL!$C$15, $D$11, 100%, $F$11)</f>
        <v>31.295100000000001</v>
      </c>
      <c r="F934" s="4">
        <f>CHOOSE( CONTROL!$C$32, 31.9972, 31.9955) * CHOOSE(CONTROL!$C$15, $D$11, 100%, $F$11)</f>
        <v>31.997199999999999</v>
      </c>
      <c r="G934" s="8">
        <f>CHOOSE( CONTROL!$C$32, 30.9338, 30.9321) * CHOOSE( CONTROL!$C$15, $D$11, 100%, $F$11)</f>
        <v>30.933800000000002</v>
      </c>
      <c r="H934" s="4">
        <f>CHOOSE( CONTROL!$C$32, 31.8691, 31.8675) * CHOOSE(CONTROL!$C$15, $D$11, 100%, $F$11)</f>
        <v>31.8691</v>
      </c>
      <c r="I934" s="8">
        <f>CHOOSE( CONTROL!$C$32, 30.4888, 30.4872) * CHOOSE(CONTROL!$C$15, $D$11, 100%, $F$11)</f>
        <v>30.488800000000001</v>
      </c>
      <c r="J934" s="4">
        <f>CHOOSE( CONTROL!$C$32, 30.3564, 30.3547) * CHOOSE(CONTROL!$C$15, $D$11, 100%, $F$11)</f>
        <v>30.356400000000001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1.2509999999999999</v>
      </c>
      <c r="Q934" s="9">
        <v>19.053000000000001</v>
      </c>
      <c r="R934" s="9"/>
      <c r="S934" s="11"/>
    </row>
    <row r="935" spans="1:19" ht="15.75">
      <c r="A935" s="13">
        <v>69610</v>
      </c>
      <c r="B935" s="8">
        <f>CHOOSE( CONTROL!$C$32, 32.6361, 32.6345) * CHOOSE(CONTROL!$C$15, $D$11, 100%, $F$11)</f>
        <v>32.636099999999999</v>
      </c>
      <c r="C935" s="8">
        <f>CHOOSE( CONTROL!$C$32, 32.6441, 32.6424) * CHOOSE(CONTROL!$C$15, $D$11, 100%, $F$11)</f>
        <v>32.644100000000002</v>
      </c>
      <c r="D935" s="8">
        <f>CHOOSE( CONTROL!$C$32, 32.6413, 32.6396) * CHOOSE( CONTROL!$C$15, $D$11, 100%, $F$11)</f>
        <v>32.641300000000001</v>
      </c>
      <c r="E935" s="12">
        <f>CHOOSE( CONTROL!$C$32, 32.6411, 32.6394) * CHOOSE( CONTROL!$C$15, $D$11, 100%, $F$11)</f>
        <v>32.641100000000002</v>
      </c>
      <c r="F935" s="4">
        <f>CHOOSE( CONTROL!$C$32, 33.3431, 33.3414) * CHOOSE(CONTROL!$C$15, $D$11, 100%, $F$11)</f>
        <v>33.3431</v>
      </c>
      <c r="G935" s="8">
        <f>CHOOSE( CONTROL!$C$32, 32.2641, 32.2625) * CHOOSE( CONTROL!$C$15, $D$11, 100%, $F$11)</f>
        <v>32.264099999999999</v>
      </c>
      <c r="H935" s="4">
        <f>CHOOSE( CONTROL!$C$32, 33.1992, 33.1976) * CHOOSE(CONTROL!$C$15, $D$11, 100%, $F$11)</f>
        <v>33.199199999999998</v>
      </c>
      <c r="I935" s="8">
        <f>CHOOSE( CONTROL!$C$32, 31.7965, 31.7948) * CHOOSE(CONTROL!$C$15, $D$11, 100%, $F$11)</f>
        <v>31.796500000000002</v>
      </c>
      <c r="J935" s="4">
        <f>CHOOSE( CONTROL!$C$32, 31.6625, 31.6609) * CHOOSE(CONTROL!$C$15, $D$11, 100%, $F$11)</f>
        <v>31.662500000000001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1.2927</v>
      </c>
      <c r="Q935" s="9">
        <v>19.688099999999999</v>
      </c>
      <c r="R935" s="9"/>
      <c r="S935" s="11"/>
    </row>
    <row r="936" spans="1:19" ht="15.75">
      <c r="A936" s="13">
        <v>69641</v>
      </c>
      <c r="B936" s="8">
        <f>CHOOSE( CONTROL!$C$32, 30.1178, 30.1162) * CHOOSE(CONTROL!$C$15, $D$11, 100%, $F$11)</f>
        <v>30.117799999999999</v>
      </c>
      <c r="C936" s="8">
        <f>CHOOSE( CONTROL!$C$32, 30.1258, 30.1242) * CHOOSE(CONTROL!$C$15, $D$11, 100%, $F$11)</f>
        <v>30.125800000000002</v>
      </c>
      <c r="D936" s="8">
        <f>CHOOSE( CONTROL!$C$32, 30.1231, 30.1215) * CHOOSE( CONTROL!$C$15, $D$11, 100%, $F$11)</f>
        <v>30.123100000000001</v>
      </c>
      <c r="E936" s="12">
        <f>CHOOSE( CONTROL!$C$32, 30.1229, 30.1213) * CHOOSE( CONTROL!$C$15, $D$11, 100%, $F$11)</f>
        <v>30.122900000000001</v>
      </c>
      <c r="F936" s="4">
        <f>CHOOSE( CONTROL!$C$32, 30.8248, 30.8231) * CHOOSE(CONTROL!$C$15, $D$11, 100%, $F$11)</f>
        <v>30.8248</v>
      </c>
      <c r="G936" s="8">
        <f>CHOOSE( CONTROL!$C$32, 29.7754, 29.7737) * CHOOSE( CONTROL!$C$15, $D$11, 100%, $F$11)</f>
        <v>29.775400000000001</v>
      </c>
      <c r="H936" s="4">
        <f>CHOOSE( CONTROL!$C$32, 30.7104, 30.7088) * CHOOSE(CONTROL!$C$15, $D$11, 100%, $F$11)</f>
        <v>30.7104</v>
      </c>
      <c r="I936" s="8">
        <f>CHOOSE( CONTROL!$C$32, 29.3516, 29.35) * CHOOSE(CONTROL!$C$15, $D$11, 100%, $F$11)</f>
        <v>29.351600000000001</v>
      </c>
      <c r="J936" s="4">
        <f>CHOOSE( CONTROL!$C$32, 29.2185, 29.2169) * CHOOSE(CONTROL!$C$15, $D$11, 100%, $F$11)</f>
        <v>29.218499999999999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1.2927</v>
      </c>
      <c r="Q936" s="9">
        <v>19.688099999999999</v>
      </c>
      <c r="R936" s="9"/>
      <c r="S936" s="11"/>
    </row>
    <row r="937" spans="1:19" ht="15.75">
      <c r="A937" s="13">
        <v>69671</v>
      </c>
      <c r="B937" s="8">
        <f>CHOOSE( CONTROL!$C$32, 29.4872, 29.4856) * CHOOSE(CONTROL!$C$15, $D$11, 100%, $F$11)</f>
        <v>29.487200000000001</v>
      </c>
      <c r="C937" s="8">
        <f>CHOOSE( CONTROL!$C$32, 29.4952, 29.4935) * CHOOSE(CONTROL!$C$15, $D$11, 100%, $F$11)</f>
        <v>29.495200000000001</v>
      </c>
      <c r="D937" s="8">
        <f>CHOOSE( CONTROL!$C$32, 29.4925, 29.4908) * CHOOSE( CONTROL!$C$15, $D$11, 100%, $F$11)</f>
        <v>29.4925</v>
      </c>
      <c r="E937" s="12">
        <f>CHOOSE( CONTROL!$C$32, 29.4923, 29.4906) * CHOOSE( CONTROL!$C$15, $D$11, 100%, $F$11)</f>
        <v>29.4923</v>
      </c>
      <c r="F937" s="4">
        <f>CHOOSE( CONTROL!$C$32, 30.1942, 30.1925) * CHOOSE(CONTROL!$C$15, $D$11, 100%, $F$11)</f>
        <v>30.194199999999999</v>
      </c>
      <c r="G937" s="8">
        <f>CHOOSE( CONTROL!$C$32, 29.1521, 29.1505) * CHOOSE( CONTROL!$C$15, $D$11, 100%, $F$11)</f>
        <v>29.152100000000001</v>
      </c>
      <c r="H937" s="4">
        <f>CHOOSE( CONTROL!$C$32, 30.0872, 30.0856) * CHOOSE(CONTROL!$C$15, $D$11, 100%, $F$11)</f>
        <v>30.087199999999999</v>
      </c>
      <c r="I937" s="8">
        <f>CHOOSE( CONTROL!$C$32, 28.7391, 28.7375) * CHOOSE(CONTROL!$C$15, $D$11, 100%, $F$11)</f>
        <v>28.739100000000001</v>
      </c>
      <c r="J937" s="4">
        <f>CHOOSE( CONTROL!$C$32, 28.6065, 28.6049) * CHOOSE(CONTROL!$C$15, $D$11, 100%, $F$11)</f>
        <v>28.6065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1.2509999999999999</v>
      </c>
      <c r="Q937" s="9">
        <v>19.053000000000001</v>
      </c>
      <c r="R937" s="9"/>
      <c r="S937" s="11"/>
    </row>
    <row r="938" spans="1:19" ht="15.75">
      <c r="A938" s="13">
        <v>69702</v>
      </c>
      <c r="B938" s="8">
        <f>CHOOSE( CONTROL!$C$32, 30.7943, 30.7932) * CHOOSE(CONTROL!$C$15, $D$11, 100%, $F$11)</f>
        <v>30.7943</v>
      </c>
      <c r="C938" s="8">
        <f>CHOOSE( CONTROL!$C$32, 30.7996, 30.7985) * CHOOSE(CONTROL!$C$15, $D$11, 100%, $F$11)</f>
        <v>30.799600000000002</v>
      </c>
      <c r="D938" s="8">
        <f>CHOOSE( CONTROL!$C$32, 30.8025, 30.8014) * CHOOSE( CONTROL!$C$15, $D$11, 100%, $F$11)</f>
        <v>30.802499999999998</v>
      </c>
      <c r="E938" s="12">
        <f>CHOOSE( CONTROL!$C$32, 30.801, 30.7999) * CHOOSE( CONTROL!$C$15, $D$11, 100%, $F$11)</f>
        <v>30.800999999999998</v>
      </c>
      <c r="F938" s="4">
        <f>CHOOSE( CONTROL!$C$32, 31.503, 31.5019) * CHOOSE(CONTROL!$C$15, $D$11, 100%, $F$11)</f>
        <v>31.503</v>
      </c>
      <c r="G938" s="8">
        <f>CHOOSE( CONTROL!$C$32, 30.4457, 30.4447) * CHOOSE( CONTROL!$C$15, $D$11, 100%, $F$11)</f>
        <v>30.445699999999999</v>
      </c>
      <c r="H938" s="4">
        <f>CHOOSE( CONTROL!$C$32, 31.3807, 31.3796) * CHOOSE(CONTROL!$C$15, $D$11, 100%, $F$11)</f>
        <v>31.380700000000001</v>
      </c>
      <c r="I938" s="8">
        <f>CHOOSE( CONTROL!$C$32, 30.0107, 30.0097) * CHOOSE(CONTROL!$C$15, $D$11, 100%, $F$11)</f>
        <v>30.0107</v>
      </c>
      <c r="J938" s="4">
        <f>CHOOSE( CONTROL!$C$32, 29.8767, 29.8757) * CHOOSE(CONTROL!$C$15, $D$11, 100%, $F$11)</f>
        <v>29.8767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1.2927</v>
      </c>
      <c r="Q938" s="9">
        <v>19.688099999999999</v>
      </c>
      <c r="R938" s="9"/>
      <c r="S938" s="11"/>
    </row>
    <row r="939" spans="1:19" ht="15.75">
      <c r="A939" s="13">
        <v>69732</v>
      </c>
      <c r="B939" s="8">
        <f>CHOOSE( CONTROL!$C$32, 33.2107, 33.2096) * CHOOSE(CONTROL!$C$15, $D$11, 100%, $F$11)</f>
        <v>33.210700000000003</v>
      </c>
      <c r="C939" s="8">
        <f>CHOOSE( CONTROL!$C$32, 33.2158, 33.2147) * CHOOSE(CONTROL!$C$15, $D$11, 100%, $F$11)</f>
        <v>33.215800000000002</v>
      </c>
      <c r="D939" s="8">
        <f>CHOOSE( CONTROL!$C$32, 33.1979, 33.1969) * CHOOSE( CONTROL!$C$15, $D$11, 100%, $F$11)</f>
        <v>33.197899999999997</v>
      </c>
      <c r="E939" s="12">
        <f>CHOOSE( CONTROL!$C$32, 33.2039, 33.2029) * CHOOSE( CONTROL!$C$15, $D$11, 100%, $F$11)</f>
        <v>33.203899999999997</v>
      </c>
      <c r="F939" s="4">
        <f>CHOOSE( CONTROL!$C$32, 33.876, 33.8749) * CHOOSE(CONTROL!$C$15, $D$11, 100%, $F$11)</f>
        <v>33.875999999999998</v>
      </c>
      <c r="G939" s="8">
        <f>CHOOSE( CONTROL!$C$32, 32.8333, 32.8323) * CHOOSE( CONTROL!$C$15, $D$11, 100%, $F$11)</f>
        <v>32.833300000000001</v>
      </c>
      <c r="H939" s="4">
        <f>CHOOSE( CONTROL!$C$32, 33.7259, 33.7248) * CHOOSE(CONTROL!$C$15, $D$11, 100%, $F$11)</f>
        <v>33.725900000000003</v>
      </c>
      <c r="I939" s="8">
        <f>CHOOSE( CONTROL!$C$32, 32.4192, 32.4181) * CHOOSE(CONTROL!$C$15, $D$11, 100%, $F$11)</f>
        <v>32.419199999999996</v>
      </c>
      <c r="J939" s="4">
        <f>CHOOSE( CONTROL!$C$32, 32.2222, 32.2212) * CHOOSE(CONTROL!$C$15, $D$11, 100%, $F$11)</f>
        <v>32.222200000000001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69763</v>
      </c>
      <c r="B940" s="8">
        <f>CHOOSE( CONTROL!$C$32, 33.1503, 33.1492) * CHOOSE(CONTROL!$C$15, $D$11, 100%, $F$11)</f>
        <v>33.150300000000001</v>
      </c>
      <c r="C940" s="8">
        <f>CHOOSE( CONTROL!$C$32, 33.1554, 33.1543) * CHOOSE(CONTROL!$C$15, $D$11, 100%, $F$11)</f>
        <v>33.1554</v>
      </c>
      <c r="D940" s="8">
        <f>CHOOSE( CONTROL!$C$32, 33.139, 33.1379) * CHOOSE( CONTROL!$C$15, $D$11, 100%, $F$11)</f>
        <v>33.139000000000003</v>
      </c>
      <c r="E940" s="12">
        <f>CHOOSE( CONTROL!$C$32, 33.1445, 33.1434) * CHOOSE( CONTROL!$C$15, $D$11, 100%, $F$11)</f>
        <v>33.144500000000001</v>
      </c>
      <c r="F940" s="4">
        <f>CHOOSE( CONTROL!$C$32, 33.8156, 33.8145) * CHOOSE(CONTROL!$C$15, $D$11, 100%, $F$11)</f>
        <v>33.815600000000003</v>
      </c>
      <c r="G940" s="8">
        <f>CHOOSE( CONTROL!$C$32, 32.7747, 32.7736) * CHOOSE( CONTROL!$C$15, $D$11, 100%, $F$11)</f>
        <v>32.774700000000003</v>
      </c>
      <c r="H940" s="4">
        <f>CHOOSE( CONTROL!$C$32, 33.6662, 33.6652) * CHOOSE(CONTROL!$C$15, $D$11, 100%, $F$11)</f>
        <v>33.666200000000003</v>
      </c>
      <c r="I940" s="8">
        <f>CHOOSE( CONTROL!$C$32, 32.365, 32.3639) * CHOOSE(CONTROL!$C$15, $D$11, 100%, $F$11)</f>
        <v>32.365000000000002</v>
      </c>
      <c r="J940" s="4">
        <f>CHOOSE( CONTROL!$C$32, 32.1636, 32.1626) * CHOOSE(CONTROL!$C$15, $D$11, 100%, $F$11)</f>
        <v>32.163600000000002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69794</v>
      </c>
      <c r="B941" s="8">
        <f>CHOOSE( CONTROL!$C$32, 34.1278, 34.1268) * CHOOSE(CONTROL!$C$15, $D$11, 100%, $F$11)</f>
        <v>34.127800000000001</v>
      </c>
      <c r="C941" s="8">
        <f>CHOOSE( CONTROL!$C$32, 34.1329, 34.1318) * CHOOSE(CONTROL!$C$15, $D$11, 100%, $F$11)</f>
        <v>34.132899999999999</v>
      </c>
      <c r="D941" s="8">
        <f>CHOOSE( CONTROL!$C$32, 34.1116, 34.1105) * CHOOSE( CONTROL!$C$15, $D$11, 100%, $F$11)</f>
        <v>34.111600000000003</v>
      </c>
      <c r="E941" s="12">
        <f>CHOOSE( CONTROL!$C$32, 34.1188, 34.1178) * CHOOSE( CONTROL!$C$15, $D$11, 100%, $F$11)</f>
        <v>34.1188</v>
      </c>
      <c r="F941" s="4">
        <f>CHOOSE( CONTROL!$C$32, 34.7931, 34.792) * CHOOSE(CONTROL!$C$15, $D$11, 100%, $F$11)</f>
        <v>34.793100000000003</v>
      </c>
      <c r="G941" s="8">
        <f>CHOOSE( CONTROL!$C$32, 33.7303, 33.7292) * CHOOSE( CONTROL!$C$15, $D$11, 100%, $F$11)</f>
        <v>33.7303</v>
      </c>
      <c r="H941" s="4">
        <f>CHOOSE( CONTROL!$C$32, 34.6323, 34.6312) * CHOOSE(CONTROL!$C$15, $D$11, 100%, $F$11)</f>
        <v>34.632300000000001</v>
      </c>
      <c r="I941" s="8">
        <f>CHOOSE( CONTROL!$C$32, 33.2762, 33.2752) * CHOOSE(CONTROL!$C$15, $D$11, 100%, $F$11)</f>
        <v>33.276200000000003</v>
      </c>
      <c r="J941" s="4">
        <f>CHOOSE( CONTROL!$C$32, 33.1123, 33.1113) * CHOOSE(CONTROL!$C$15, $D$11, 100%, $F$11)</f>
        <v>33.112299999999998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69822</v>
      </c>
      <c r="B942" s="8">
        <f>CHOOSE( CONTROL!$C$32, 31.9222, 31.9211) * CHOOSE(CONTROL!$C$15, $D$11, 100%, $F$11)</f>
        <v>31.9222</v>
      </c>
      <c r="C942" s="8">
        <f>CHOOSE( CONTROL!$C$32, 31.9273, 31.9262) * CHOOSE(CONTROL!$C$15, $D$11, 100%, $F$11)</f>
        <v>31.927299999999999</v>
      </c>
      <c r="D942" s="8">
        <f>CHOOSE( CONTROL!$C$32, 31.9058, 31.9048) * CHOOSE( CONTROL!$C$15, $D$11, 100%, $F$11)</f>
        <v>31.905799999999999</v>
      </c>
      <c r="E942" s="12">
        <f>CHOOSE( CONTROL!$C$32, 31.9131, 31.9121) * CHOOSE( CONTROL!$C$15, $D$11, 100%, $F$11)</f>
        <v>31.9131</v>
      </c>
      <c r="F942" s="4">
        <f>CHOOSE( CONTROL!$C$32, 32.5875, 32.5864) * CHOOSE(CONTROL!$C$15, $D$11, 100%, $F$11)</f>
        <v>32.587499999999999</v>
      </c>
      <c r="G942" s="8">
        <f>CHOOSE( CONTROL!$C$32, 31.5504, 31.5493) * CHOOSE( CONTROL!$C$15, $D$11, 100%, $F$11)</f>
        <v>31.5504</v>
      </c>
      <c r="H942" s="4">
        <f>CHOOSE( CONTROL!$C$32, 32.4525, 32.4514) * CHOOSE(CONTROL!$C$15, $D$11, 100%, $F$11)</f>
        <v>32.452500000000001</v>
      </c>
      <c r="I942" s="8">
        <f>CHOOSE( CONTROL!$C$32, 31.1341, 31.1331) * CHOOSE(CONTROL!$C$15, $D$11, 100%, $F$11)</f>
        <v>31.1341</v>
      </c>
      <c r="J942" s="4">
        <f>CHOOSE( CONTROL!$C$32, 30.9717, 30.9707) * CHOOSE(CONTROL!$C$15, $D$11, 100%, $F$11)</f>
        <v>30.971699999999998</v>
      </c>
      <c r="K942" s="4"/>
      <c r="L942" s="9">
        <v>26.469899999999999</v>
      </c>
      <c r="M942" s="9">
        <v>10.8962</v>
      </c>
      <c r="N942" s="9">
        <v>4.4660000000000002</v>
      </c>
      <c r="O942" s="9">
        <v>0.33789999999999998</v>
      </c>
      <c r="P942" s="9">
        <v>1.1676</v>
      </c>
      <c r="Q942" s="9">
        <v>17.782800000000002</v>
      </c>
      <c r="R942" s="9"/>
      <c r="S942" s="11"/>
    </row>
    <row r="943" spans="1:19" ht="15.75">
      <c r="A943" s="13">
        <v>69853</v>
      </c>
      <c r="B943" s="8">
        <f>CHOOSE( CONTROL!$C$32, 31.2428, 31.2418) * CHOOSE(CONTROL!$C$15, $D$11, 100%, $F$11)</f>
        <v>31.242799999999999</v>
      </c>
      <c r="C943" s="8">
        <f>CHOOSE( CONTROL!$C$32, 31.2479, 31.2468) * CHOOSE(CONTROL!$C$15, $D$11, 100%, $F$11)</f>
        <v>31.247900000000001</v>
      </c>
      <c r="D943" s="8">
        <f>CHOOSE( CONTROL!$C$32, 31.2259, 31.2248) * CHOOSE( CONTROL!$C$15, $D$11, 100%, $F$11)</f>
        <v>31.225899999999999</v>
      </c>
      <c r="E943" s="12">
        <f>CHOOSE( CONTROL!$C$32, 31.2334, 31.2323) * CHOOSE( CONTROL!$C$15, $D$11, 100%, $F$11)</f>
        <v>31.2334</v>
      </c>
      <c r="F943" s="4">
        <f>CHOOSE( CONTROL!$C$32, 31.9081, 31.907) * CHOOSE(CONTROL!$C$15, $D$11, 100%, $F$11)</f>
        <v>31.908100000000001</v>
      </c>
      <c r="G943" s="8">
        <f>CHOOSE( CONTROL!$C$32, 30.8785, 30.8775) * CHOOSE( CONTROL!$C$15, $D$11, 100%, $F$11)</f>
        <v>30.878499999999999</v>
      </c>
      <c r="H943" s="4">
        <f>CHOOSE( CONTROL!$C$32, 31.7811, 31.78) * CHOOSE(CONTROL!$C$15, $D$11, 100%, $F$11)</f>
        <v>31.781099999999999</v>
      </c>
      <c r="I943" s="8">
        <f>CHOOSE( CONTROL!$C$32, 30.4725, 30.4715) * CHOOSE(CONTROL!$C$15, $D$11, 100%, $F$11)</f>
        <v>30.4725</v>
      </c>
      <c r="J943" s="4">
        <f>CHOOSE( CONTROL!$C$32, 30.3124, 30.3114) * CHOOSE(CONTROL!$C$15, $D$11, 100%, $F$11)</f>
        <v>30.3124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69883</v>
      </c>
      <c r="B944" s="8">
        <f>CHOOSE( CONTROL!$C$32, 31.7183, 31.7172) * CHOOSE(CONTROL!$C$15, $D$11, 100%, $F$11)</f>
        <v>31.718299999999999</v>
      </c>
      <c r="C944" s="8">
        <f>CHOOSE( CONTROL!$C$32, 31.7228, 31.7217) * CHOOSE(CONTROL!$C$15, $D$11, 100%, $F$11)</f>
        <v>31.722799999999999</v>
      </c>
      <c r="D944" s="8">
        <f>CHOOSE( CONTROL!$C$32, 31.7257, 31.7246) * CHOOSE( CONTROL!$C$15, $D$11, 100%, $F$11)</f>
        <v>31.7257</v>
      </c>
      <c r="E944" s="12">
        <f>CHOOSE( CONTROL!$C$32, 31.7242, 31.7231) * CHOOSE( CONTROL!$C$15, $D$11, 100%, $F$11)</f>
        <v>31.7242</v>
      </c>
      <c r="F944" s="4">
        <f>CHOOSE( CONTROL!$C$32, 32.4266, 32.4255) * CHOOSE(CONTROL!$C$15, $D$11, 100%, $F$11)</f>
        <v>32.426600000000001</v>
      </c>
      <c r="G944" s="8">
        <f>CHOOSE( CONTROL!$C$32, 31.3582, 31.3571) * CHOOSE( CONTROL!$C$15, $D$11, 100%, $F$11)</f>
        <v>31.3582</v>
      </c>
      <c r="H944" s="4">
        <f>CHOOSE( CONTROL!$C$32, 32.2935, 32.2925) * CHOOSE(CONTROL!$C$15, $D$11, 100%, $F$11)</f>
        <v>32.293500000000002</v>
      </c>
      <c r="I944" s="8">
        <f>CHOOSE( CONTROL!$C$32, 30.9057, 30.9047) * CHOOSE(CONTROL!$C$15, $D$11, 100%, $F$11)</f>
        <v>30.9057</v>
      </c>
      <c r="J944" s="4">
        <f>CHOOSE( CONTROL!$C$32, 30.7731, 30.7721) * CHOOSE(CONTROL!$C$15, $D$11, 100%, $F$11)</f>
        <v>30.773099999999999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1.2509999999999999</v>
      </c>
      <c r="Q944" s="9">
        <v>19.053000000000001</v>
      </c>
      <c r="R944" s="9"/>
      <c r="S944" s="11"/>
    </row>
    <row r="945" spans="1:19" ht="15.75">
      <c r="A945" s="13">
        <v>69914</v>
      </c>
      <c r="B945" s="8">
        <f>CHOOSE( CONTROL!$C$32, 32.5651, 32.5635) * CHOOSE(CONTROL!$C$15, $D$11, 100%, $F$11)</f>
        <v>32.565100000000001</v>
      </c>
      <c r="C945" s="8">
        <f>CHOOSE( CONTROL!$C$32, 32.5731, 32.5714) * CHOOSE(CONTROL!$C$15, $D$11, 100%, $F$11)</f>
        <v>32.573099999999997</v>
      </c>
      <c r="D945" s="8">
        <f>CHOOSE( CONTROL!$C$32, 32.5698, 32.5682) * CHOOSE( CONTROL!$C$15, $D$11, 100%, $F$11)</f>
        <v>32.569800000000001</v>
      </c>
      <c r="E945" s="12">
        <f>CHOOSE( CONTROL!$C$32, 32.5698, 32.5682) * CHOOSE( CONTROL!$C$15, $D$11, 100%, $F$11)</f>
        <v>32.569800000000001</v>
      </c>
      <c r="F945" s="4">
        <f>CHOOSE( CONTROL!$C$32, 33.2721, 33.2704) * CHOOSE(CONTROL!$C$15, $D$11, 100%, $F$11)</f>
        <v>33.272100000000002</v>
      </c>
      <c r="G945" s="8">
        <f>CHOOSE( CONTROL!$C$32, 32.1936, 32.1919) * CHOOSE( CONTROL!$C$15, $D$11, 100%, $F$11)</f>
        <v>32.193600000000004</v>
      </c>
      <c r="H945" s="4">
        <f>CHOOSE( CONTROL!$C$32, 33.1291, 33.1274) * CHOOSE(CONTROL!$C$15, $D$11, 100%, $F$11)</f>
        <v>33.129100000000001</v>
      </c>
      <c r="I945" s="8">
        <f>CHOOSE( CONTROL!$C$32, 31.7259, 31.7243) * CHOOSE(CONTROL!$C$15, $D$11, 100%, $F$11)</f>
        <v>31.725899999999999</v>
      </c>
      <c r="J945" s="4">
        <f>CHOOSE( CONTROL!$C$32, 31.5936, 31.592) * CHOOSE(CONTROL!$C$15, $D$11, 100%, $F$11)</f>
        <v>31.593599999999999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1.2927</v>
      </c>
      <c r="Q945" s="9">
        <v>19.688099999999999</v>
      </c>
      <c r="R945" s="9"/>
      <c r="S945" s="11"/>
    </row>
    <row r="946" spans="1:19" ht="15.75">
      <c r="A946" s="13">
        <v>69944</v>
      </c>
      <c r="B946" s="8">
        <f>CHOOSE( CONTROL!$C$32, 32.0418, 32.0401) * CHOOSE(CONTROL!$C$15, $D$11, 100%, $F$11)</f>
        <v>32.041800000000002</v>
      </c>
      <c r="C946" s="8">
        <f>CHOOSE( CONTROL!$C$32, 32.0497, 32.0481) * CHOOSE(CONTROL!$C$15, $D$11, 100%, $F$11)</f>
        <v>32.049700000000001</v>
      </c>
      <c r="D946" s="8">
        <f>CHOOSE( CONTROL!$C$32, 32.0467, 32.045) * CHOOSE( CONTROL!$C$15, $D$11, 100%, $F$11)</f>
        <v>32.046700000000001</v>
      </c>
      <c r="E946" s="12">
        <f>CHOOSE( CONTROL!$C$32, 32.0466, 32.0449) * CHOOSE( CONTROL!$C$15, $D$11, 100%, $F$11)</f>
        <v>32.046599999999998</v>
      </c>
      <c r="F946" s="4">
        <f>CHOOSE( CONTROL!$C$32, 32.7487, 32.747) * CHOOSE(CONTROL!$C$15, $D$11, 100%, $F$11)</f>
        <v>32.748699999999999</v>
      </c>
      <c r="G946" s="8">
        <f>CHOOSE( CONTROL!$C$32, 31.6765, 31.6749) * CHOOSE( CONTROL!$C$15, $D$11, 100%, $F$11)</f>
        <v>31.676500000000001</v>
      </c>
      <c r="H946" s="4">
        <f>CHOOSE( CONTROL!$C$32, 32.6118, 32.6102) * CHOOSE(CONTROL!$C$15, $D$11, 100%, $F$11)</f>
        <v>32.611800000000002</v>
      </c>
      <c r="I946" s="8">
        <f>CHOOSE( CONTROL!$C$32, 31.2185, 31.2169) * CHOOSE(CONTROL!$C$15, $D$11, 100%, $F$11)</f>
        <v>31.218499999999999</v>
      </c>
      <c r="J946" s="4">
        <f>CHOOSE( CONTROL!$C$32, 31.0857, 31.0841) * CHOOSE(CONTROL!$C$15, $D$11, 100%, $F$11)</f>
        <v>31.085699999999999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1.2509999999999999</v>
      </c>
      <c r="Q946" s="9">
        <v>19.053000000000001</v>
      </c>
      <c r="R946" s="9"/>
      <c r="S946" s="11"/>
    </row>
    <row r="947" spans="1:19" ht="15.75">
      <c r="A947" s="13">
        <v>69975</v>
      </c>
      <c r="B947" s="8">
        <f>CHOOSE( CONTROL!$C$32, 33.42, 33.4183) * CHOOSE(CONTROL!$C$15, $D$11, 100%, $F$11)</f>
        <v>33.42</v>
      </c>
      <c r="C947" s="8">
        <f>CHOOSE( CONTROL!$C$32, 33.4279, 33.4263) * CHOOSE(CONTROL!$C$15, $D$11, 100%, $F$11)</f>
        <v>33.427900000000001</v>
      </c>
      <c r="D947" s="8">
        <f>CHOOSE( CONTROL!$C$32, 33.4252, 33.4235) * CHOOSE( CONTROL!$C$15, $D$11, 100%, $F$11)</f>
        <v>33.425199999999997</v>
      </c>
      <c r="E947" s="12">
        <f>CHOOSE( CONTROL!$C$32, 33.425, 33.4233) * CHOOSE( CONTROL!$C$15, $D$11, 100%, $F$11)</f>
        <v>33.424999999999997</v>
      </c>
      <c r="F947" s="4">
        <f>CHOOSE( CONTROL!$C$32, 34.1269, 34.1253) * CHOOSE(CONTROL!$C$15, $D$11, 100%, $F$11)</f>
        <v>34.126899999999999</v>
      </c>
      <c r="G947" s="8">
        <f>CHOOSE( CONTROL!$C$32, 33.0388, 33.0371) * CHOOSE( CONTROL!$C$15, $D$11, 100%, $F$11)</f>
        <v>33.038800000000002</v>
      </c>
      <c r="H947" s="4">
        <f>CHOOSE( CONTROL!$C$32, 33.9739, 33.9723) * CHOOSE(CONTROL!$C$15, $D$11, 100%, $F$11)</f>
        <v>33.9739</v>
      </c>
      <c r="I947" s="8">
        <f>CHOOSE( CONTROL!$C$32, 32.5576, 32.556) * CHOOSE(CONTROL!$C$15, $D$11, 100%, $F$11)</f>
        <v>32.557600000000001</v>
      </c>
      <c r="J947" s="4">
        <f>CHOOSE( CONTROL!$C$32, 32.4233, 32.4217) * CHOOSE(CONTROL!$C$15, $D$11, 100%, $F$11)</f>
        <v>32.423299999999998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1.2927</v>
      </c>
      <c r="Q947" s="9">
        <v>19.688099999999999</v>
      </c>
      <c r="R947" s="9"/>
      <c r="S947" s="11"/>
    </row>
    <row r="948" spans="1:19" ht="15.75">
      <c r="A948" s="13">
        <v>70006</v>
      </c>
      <c r="B948" s="8">
        <f>CHOOSE( CONTROL!$C$32, 30.8412, 30.8395) * CHOOSE(CONTROL!$C$15, $D$11, 100%, $F$11)</f>
        <v>30.841200000000001</v>
      </c>
      <c r="C948" s="8">
        <f>CHOOSE( CONTROL!$C$32, 30.8492, 30.8475) * CHOOSE(CONTROL!$C$15, $D$11, 100%, $F$11)</f>
        <v>30.8492</v>
      </c>
      <c r="D948" s="8">
        <f>CHOOSE( CONTROL!$C$32, 30.8465, 30.8448) * CHOOSE( CONTROL!$C$15, $D$11, 100%, $F$11)</f>
        <v>30.846499999999999</v>
      </c>
      <c r="E948" s="12">
        <f>CHOOSE( CONTROL!$C$32, 30.8463, 30.8446) * CHOOSE( CONTROL!$C$15, $D$11, 100%, $F$11)</f>
        <v>30.846299999999999</v>
      </c>
      <c r="F948" s="4">
        <f>CHOOSE( CONTROL!$C$32, 31.5481, 31.5465) * CHOOSE(CONTROL!$C$15, $D$11, 100%, $F$11)</f>
        <v>31.548100000000002</v>
      </c>
      <c r="G948" s="8">
        <f>CHOOSE( CONTROL!$C$32, 30.4903, 30.4886) * CHOOSE( CONTROL!$C$15, $D$11, 100%, $F$11)</f>
        <v>30.490300000000001</v>
      </c>
      <c r="H948" s="4">
        <f>CHOOSE( CONTROL!$C$32, 31.4253, 31.4237) * CHOOSE(CONTROL!$C$15, $D$11, 100%, $F$11)</f>
        <v>31.4253</v>
      </c>
      <c r="I948" s="8">
        <f>CHOOSE( CONTROL!$C$32, 30.0539, 30.0523) * CHOOSE(CONTROL!$C$15, $D$11, 100%, $F$11)</f>
        <v>30.053899999999999</v>
      </c>
      <c r="J948" s="4">
        <f>CHOOSE( CONTROL!$C$32, 29.9205, 29.9189) * CHOOSE(CONTROL!$C$15, $D$11, 100%, $F$11)</f>
        <v>29.920500000000001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1.2927</v>
      </c>
      <c r="Q948" s="9">
        <v>19.688099999999999</v>
      </c>
      <c r="R948" s="9"/>
      <c r="S948" s="11"/>
    </row>
    <row r="949" spans="1:19" ht="15.75">
      <c r="A949" s="13">
        <v>70036</v>
      </c>
      <c r="B949" s="8">
        <f>CHOOSE( CONTROL!$C$32, 30.1954, 30.1938) * CHOOSE(CONTROL!$C$15, $D$11, 100%, $F$11)</f>
        <v>30.195399999999999</v>
      </c>
      <c r="C949" s="8">
        <f>CHOOSE( CONTROL!$C$32, 30.2034, 30.2017) * CHOOSE(CONTROL!$C$15, $D$11, 100%, $F$11)</f>
        <v>30.203399999999998</v>
      </c>
      <c r="D949" s="8">
        <f>CHOOSE( CONTROL!$C$32, 30.2007, 30.199) * CHOOSE( CONTROL!$C$15, $D$11, 100%, $F$11)</f>
        <v>30.200700000000001</v>
      </c>
      <c r="E949" s="12">
        <f>CHOOSE( CONTROL!$C$32, 30.2005, 30.1988) * CHOOSE( CONTROL!$C$15, $D$11, 100%, $F$11)</f>
        <v>30.200500000000002</v>
      </c>
      <c r="F949" s="4">
        <f>CHOOSE( CONTROL!$C$32, 30.9024, 30.9007) * CHOOSE(CONTROL!$C$15, $D$11, 100%, $F$11)</f>
        <v>30.9024</v>
      </c>
      <c r="G949" s="8">
        <f>CHOOSE( CONTROL!$C$32, 29.852, 29.8504) * CHOOSE( CONTROL!$C$15, $D$11, 100%, $F$11)</f>
        <v>29.852</v>
      </c>
      <c r="H949" s="4">
        <f>CHOOSE( CONTROL!$C$32, 30.7871, 30.7855) * CHOOSE(CONTROL!$C$15, $D$11, 100%, $F$11)</f>
        <v>30.787099999999999</v>
      </c>
      <c r="I949" s="8">
        <f>CHOOSE( CONTROL!$C$32, 29.4268, 29.4251) * CHOOSE(CONTROL!$C$15, $D$11, 100%, $F$11)</f>
        <v>29.4268</v>
      </c>
      <c r="J949" s="4">
        <f>CHOOSE( CONTROL!$C$32, 29.2938, 29.2922) * CHOOSE(CONTROL!$C$15, $D$11, 100%, $F$11)</f>
        <v>29.293800000000001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1.2509999999999999</v>
      </c>
      <c r="Q949" s="9">
        <v>19.053000000000001</v>
      </c>
      <c r="R949" s="9"/>
      <c r="S949" s="11"/>
    </row>
    <row r="950" spans="1:19" ht="15.75">
      <c r="A950" s="13">
        <v>70067</v>
      </c>
      <c r="B950" s="8">
        <f>CHOOSE( CONTROL!$C$32, 31.5339, 31.5329) * CHOOSE(CONTROL!$C$15, $D$11, 100%, $F$11)</f>
        <v>31.533899999999999</v>
      </c>
      <c r="C950" s="8">
        <f>CHOOSE( CONTROL!$C$32, 31.5393, 31.5382) * CHOOSE(CONTROL!$C$15, $D$11, 100%, $F$11)</f>
        <v>31.539300000000001</v>
      </c>
      <c r="D950" s="8">
        <f>CHOOSE( CONTROL!$C$32, 31.5422, 31.5411) * CHOOSE( CONTROL!$C$15, $D$11, 100%, $F$11)</f>
        <v>31.542200000000001</v>
      </c>
      <c r="E950" s="12">
        <f>CHOOSE( CONTROL!$C$32, 31.5407, 31.5396) * CHOOSE( CONTROL!$C$15, $D$11, 100%, $F$11)</f>
        <v>31.540700000000001</v>
      </c>
      <c r="F950" s="4">
        <f>CHOOSE( CONTROL!$C$32, 32.2426, 32.2415) * CHOOSE(CONTROL!$C$15, $D$11, 100%, $F$11)</f>
        <v>32.242600000000003</v>
      </c>
      <c r="G950" s="8">
        <f>CHOOSE( CONTROL!$C$32, 31.1767, 31.1757) * CHOOSE( CONTROL!$C$15, $D$11, 100%, $F$11)</f>
        <v>31.1767</v>
      </c>
      <c r="H950" s="4">
        <f>CHOOSE( CONTROL!$C$32, 32.1117, 32.1106) * CHOOSE(CONTROL!$C$15, $D$11, 100%, $F$11)</f>
        <v>32.111699999999999</v>
      </c>
      <c r="I950" s="8">
        <f>CHOOSE( CONTROL!$C$32, 30.7289, 30.7279) * CHOOSE(CONTROL!$C$15, $D$11, 100%, $F$11)</f>
        <v>30.728899999999999</v>
      </c>
      <c r="J950" s="4">
        <f>CHOOSE( CONTROL!$C$32, 30.5945, 30.5935) * CHOOSE(CONTROL!$C$15, $D$11, 100%, $F$11)</f>
        <v>30.5945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1.2927</v>
      </c>
      <c r="Q950" s="9">
        <v>19.688099999999999</v>
      </c>
      <c r="R950" s="9"/>
      <c r="S950" s="11"/>
    </row>
    <row r="951" spans="1:19" ht="15.75">
      <c r="A951" s="13">
        <v>70097</v>
      </c>
      <c r="B951" s="8">
        <f>CHOOSE( CONTROL!$C$32, 34.0084, 34.0073) * CHOOSE(CONTROL!$C$15, $D$11, 100%, $F$11)</f>
        <v>34.008400000000002</v>
      </c>
      <c r="C951" s="8">
        <f>CHOOSE( CONTROL!$C$32, 34.0135, 34.0124) * CHOOSE(CONTROL!$C$15, $D$11, 100%, $F$11)</f>
        <v>34.013500000000001</v>
      </c>
      <c r="D951" s="8">
        <f>CHOOSE( CONTROL!$C$32, 33.9957, 33.9946) * CHOOSE( CONTROL!$C$15, $D$11, 100%, $F$11)</f>
        <v>33.995699999999999</v>
      </c>
      <c r="E951" s="12">
        <f>CHOOSE( CONTROL!$C$32, 34.0017, 34.0006) * CHOOSE( CONTROL!$C$15, $D$11, 100%, $F$11)</f>
        <v>34.0017</v>
      </c>
      <c r="F951" s="4">
        <f>CHOOSE( CONTROL!$C$32, 34.6737, 34.6726) * CHOOSE(CONTROL!$C$15, $D$11, 100%, $F$11)</f>
        <v>34.673699999999997</v>
      </c>
      <c r="G951" s="8">
        <f>CHOOSE( CONTROL!$C$32, 33.6217, 33.6207) * CHOOSE( CONTROL!$C$15, $D$11, 100%, $F$11)</f>
        <v>33.621699999999997</v>
      </c>
      <c r="H951" s="4">
        <f>CHOOSE( CONTROL!$C$32, 34.5143, 34.5132) * CHOOSE(CONTROL!$C$15, $D$11, 100%, $F$11)</f>
        <v>34.514299999999999</v>
      </c>
      <c r="I951" s="8">
        <f>CHOOSE( CONTROL!$C$32, 33.1937, 33.1927) * CHOOSE(CONTROL!$C$15, $D$11, 100%, $F$11)</f>
        <v>33.1937</v>
      </c>
      <c r="J951" s="4">
        <f>CHOOSE( CONTROL!$C$32, 32.9964, 32.9954) * CHOOSE(CONTROL!$C$15, $D$11, 100%, $F$11)</f>
        <v>32.996400000000001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70128</v>
      </c>
      <c r="B952" s="8">
        <f>CHOOSE( CONTROL!$C$32, 33.9466, 33.9455) * CHOOSE(CONTROL!$C$15, $D$11, 100%, $F$11)</f>
        <v>33.946599999999997</v>
      </c>
      <c r="C952" s="8">
        <f>CHOOSE( CONTROL!$C$32, 33.9517, 33.9506) * CHOOSE(CONTROL!$C$15, $D$11, 100%, $F$11)</f>
        <v>33.951700000000002</v>
      </c>
      <c r="D952" s="8">
        <f>CHOOSE( CONTROL!$C$32, 33.9353, 33.9342) * CHOOSE( CONTROL!$C$15, $D$11, 100%, $F$11)</f>
        <v>33.935299999999998</v>
      </c>
      <c r="E952" s="12">
        <f>CHOOSE( CONTROL!$C$32, 33.9408, 33.9397) * CHOOSE( CONTROL!$C$15, $D$11, 100%, $F$11)</f>
        <v>33.940800000000003</v>
      </c>
      <c r="F952" s="4">
        <f>CHOOSE( CONTROL!$C$32, 34.6119, 34.6108) * CHOOSE(CONTROL!$C$15, $D$11, 100%, $F$11)</f>
        <v>34.611899999999999</v>
      </c>
      <c r="G952" s="8">
        <f>CHOOSE( CONTROL!$C$32, 33.5616, 33.5606) * CHOOSE( CONTROL!$C$15, $D$11, 100%, $F$11)</f>
        <v>33.561599999999999</v>
      </c>
      <c r="H952" s="4">
        <f>CHOOSE( CONTROL!$C$32, 34.4532, 34.4521) * CHOOSE(CONTROL!$C$15, $D$11, 100%, $F$11)</f>
        <v>34.453200000000002</v>
      </c>
      <c r="I952" s="8">
        <f>CHOOSE( CONTROL!$C$32, 33.1382, 33.1371) * CHOOSE(CONTROL!$C$15, $D$11, 100%, $F$11)</f>
        <v>33.138199999999998</v>
      </c>
      <c r="J952" s="4">
        <f>CHOOSE( CONTROL!$C$32, 32.9364, 32.9354) * CHOOSE(CONTROL!$C$15, $D$11, 100%, $F$11)</f>
        <v>32.936399999999999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70159</v>
      </c>
      <c r="B953" s="8">
        <f>CHOOSE( CONTROL!$C$32, 34.9476, 34.9465) * CHOOSE(CONTROL!$C$15, $D$11, 100%, $F$11)</f>
        <v>34.947600000000001</v>
      </c>
      <c r="C953" s="8">
        <f>CHOOSE( CONTROL!$C$32, 34.9527, 34.9516) * CHOOSE(CONTROL!$C$15, $D$11, 100%, $F$11)</f>
        <v>34.9527</v>
      </c>
      <c r="D953" s="8">
        <f>CHOOSE( CONTROL!$C$32, 34.9314, 34.9303) * CHOOSE( CONTROL!$C$15, $D$11, 100%, $F$11)</f>
        <v>34.931399999999996</v>
      </c>
      <c r="E953" s="12">
        <f>CHOOSE( CONTROL!$C$32, 34.9386, 34.9375) * CHOOSE( CONTROL!$C$15, $D$11, 100%, $F$11)</f>
        <v>34.938600000000001</v>
      </c>
      <c r="F953" s="4">
        <f>CHOOSE( CONTROL!$C$32, 35.6129, 35.6118) * CHOOSE(CONTROL!$C$15, $D$11, 100%, $F$11)</f>
        <v>35.612900000000003</v>
      </c>
      <c r="G953" s="8">
        <f>CHOOSE( CONTROL!$C$32, 34.5405, 34.5394) * CHOOSE( CONTROL!$C$15, $D$11, 100%, $F$11)</f>
        <v>34.540500000000002</v>
      </c>
      <c r="H953" s="4">
        <f>CHOOSE( CONTROL!$C$32, 35.4425, 35.4414) * CHOOSE(CONTROL!$C$15, $D$11, 100%, $F$11)</f>
        <v>35.442500000000003</v>
      </c>
      <c r="I953" s="8">
        <f>CHOOSE( CONTROL!$C$32, 34.0722, 34.0711) * CHOOSE(CONTROL!$C$15, $D$11, 100%, $F$11)</f>
        <v>34.072200000000002</v>
      </c>
      <c r="J953" s="4">
        <f>CHOOSE( CONTROL!$C$32, 33.9079, 33.9068) * CHOOSE(CONTROL!$C$15, $D$11, 100%, $F$11)</f>
        <v>33.907899999999998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70188</v>
      </c>
      <c r="B954" s="8">
        <f>CHOOSE( CONTROL!$C$32, 32.6889, 32.6879) * CHOOSE(CONTROL!$C$15, $D$11, 100%, $F$11)</f>
        <v>32.688899999999997</v>
      </c>
      <c r="C954" s="8">
        <f>CHOOSE( CONTROL!$C$32, 32.694, 32.6929) * CHOOSE(CONTROL!$C$15, $D$11, 100%, $F$11)</f>
        <v>32.694000000000003</v>
      </c>
      <c r="D954" s="8">
        <f>CHOOSE( CONTROL!$C$32, 32.6726, 32.6715) * CHOOSE( CONTROL!$C$15, $D$11, 100%, $F$11)</f>
        <v>32.672600000000003</v>
      </c>
      <c r="E954" s="12">
        <f>CHOOSE( CONTROL!$C$32, 32.6799, 32.6788) * CHOOSE( CONTROL!$C$15, $D$11, 100%, $F$11)</f>
        <v>32.679900000000004</v>
      </c>
      <c r="F954" s="4">
        <f>CHOOSE( CONTROL!$C$32, 33.3542, 33.3531) * CHOOSE(CONTROL!$C$15, $D$11, 100%, $F$11)</f>
        <v>33.354199999999999</v>
      </c>
      <c r="G954" s="8">
        <f>CHOOSE( CONTROL!$C$32, 32.3082, 32.3071) * CHOOSE( CONTROL!$C$15, $D$11, 100%, $F$11)</f>
        <v>32.308199999999999</v>
      </c>
      <c r="H954" s="4">
        <f>CHOOSE( CONTROL!$C$32, 33.2103, 33.2092) * CHOOSE(CONTROL!$C$15, $D$11, 100%, $F$11)</f>
        <v>33.210299999999997</v>
      </c>
      <c r="I954" s="8">
        <f>CHOOSE( CONTROL!$C$32, 31.8787, 31.8776) * CHOOSE(CONTROL!$C$15, $D$11, 100%, $F$11)</f>
        <v>31.878699999999998</v>
      </c>
      <c r="J954" s="4">
        <f>CHOOSE( CONTROL!$C$32, 31.7159, 31.7148) * CHOOSE(CONTROL!$C$15, $D$11, 100%, $F$11)</f>
        <v>31.715900000000001</v>
      </c>
      <c r="K954" s="4"/>
      <c r="L954" s="9">
        <v>27.415299999999998</v>
      </c>
      <c r="M954" s="9">
        <v>11.285299999999999</v>
      </c>
      <c r="N954" s="9">
        <v>4.6254999999999997</v>
      </c>
      <c r="O954" s="9">
        <v>0.34989999999999999</v>
      </c>
      <c r="P954" s="9">
        <v>1.2093</v>
      </c>
      <c r="Q954" s="9">
        <v>18.417899999999999</v>
      </c>
      <c r="R954" s="9"/>
      <c r="S954" s="11"/>
    </row>
    <row r="955" spans="1:19" ht="15.75">
      <c r="A955" s="13">
        <v>70219</v>
      </c>
      <c r="B955" s="8">
        <f>CHOOSE( CONTROL!$C$32, 31.9933, 31.9922) * CHOOSE(CONTROL!$C$15, $D$11, 100%, $F$11)</f>
        <v>31.993300000000001</v>
      </c>
      <c r="C955" s="8">
        <f>CHOOSE( CONTROL!$C$32, 31.9984, 31.9973) * CHOOSE(CONTROL!$C$15, $D$11, 100%, $F$11)</f>
        <v>31.9984</v>
      </c>
      <c r="D955" s="8">
        <f>CHOOSE( CONTROL!$C$32, 31.9763, 31.9752) * CHOOSE( CONTROL!$C$15, $D$11, 100%, $F$11)</f>
        <v>31.976299999999998</v>
      </c>
      <c r="E955" s="12">
        <f>CHOOSE( CONTROL!$C$32, 31.9838, 31.9827) * CHOOSE( CONTROL!$C$15, $D$11, 100%, $F$11)</f>
        <v>31.983799999999999</v>
      </c>
      <c r="F955" s="4">
        <f>CHOOSE( CONTROL!$C$32, 32.6586, 32.6575) * CHOOSE(CONTROL!$C$15, $D$11, 100%, $F$11)</f>
        <v>32.6586</v>
      </c>
      <c r="G955" s="8">
        <f>CHOOSE( CONTROL!$C$32, 31.6202, 31.6191) * CHOOSE( CONTROL!$C$15, $D$11, 100%, $F$11)</f>
        <v>31.620200000000001</v>
      </c>
      <c r="H955" s="4">
        <f>CHOOSE( CONTROL!$C$32, 32.5228, 32.5217) * CHOOSE(CONTROL!$C$15, $D$11, 100%, $F$11)</f>
        <v>32.522799999999997</v>
      </c>
      <c r="I955" s="8">
        <f>CHOOSE( CONTROL!$C$32, 31.2012, 31.2002) * CHOOSE(CONTROL!$C$15, $D$11, 100%, $F$11)</f>
        <v>31.2012</v>
      </c>
      <c r="J955" s="4">
        <f>CHOOSE( CONTROL!$C$32, 31.0407, 31.0397) * CHOOSE(CONTROL!$C$15, $D$11, 100%, $F$11)</f>
        <v>31.040700000000001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70249</v>
      </c>
      <c r="B956" s="8">
        <f>CHOOSE( CONTROL!$C$32, 32.4802, 32.4791) * CHOOSE(CONTROL!$C$15, $D$11, 100%, $F$11)</f>
        <v>32.480200000000004</v>
      </c>
      <c r="C956" s="8">
        <f>CHOOSE( CONTROL!$C$32, 32.4847, 32.4836) * CHOOSE(CONTROL!$C$15, $D$11, 100%, $F$11)</f>
        <v>32.484699999999997</v>
      </c>
      <c r="D956" s="8">
        <f>CHOOSE( CONTROL!$C$32, 32.4875, 32.4864) * CHOOSE( CONTROL!$C$15, $D$11, 100%, $F$11)</f>
        <v>32.487499999999997</v>
      </c>
      <c r="E956" s="12">
        <f>CHOOSE( CONTROL!$C$32, 32.4861, 32.485) * CHOOSE( CONTROL!$C$15, $D$11, 100%, $F$11)</f>
        <v>32.4861</v>
      </c>
      <c r="F956" s="4">
        <f>CHOOSE( CONTROL!$C$32, 33.1885, 33.1874) * CHOOSE(CONTROL!$C$15, $D$11, 100%, $F$11)</f>
        <v>33.188499999999998</v>
      </c>
      <c r="G956" s="8">
        <f>CHOOSE( CONTROL!$C$32, 32.1111, 32.11) * CHOOSE( CONTROL!$C$15, $D$11, 100%, $F$11)</f>
        <v>32.1111</v>
      </c>
      <c r="H956" s="4">
        <f>CHOOSE( CONTROL!$C$32, 33.0465, 33.0454) * CHOOSE(CONTROL!$C$15, $D$11, 100%, $F$11)</f>
        <v>33.046500000000002</v>
      </c>
      <c r="I956" s="8">
        <f>CHOOSE( CONTROL!$C$32, 31.6455, 31.6444) * CHOOSE(CONTROL!$C$15, $D$11, 100%, $F$11)</f>
        <v>31.645499999999998</v>
      </c>
      <c r="J956" s="4">
        <f>CHOOSE( CONTROL!$C$32, 31.5125, 31.5115) * CHOOSE(CONTROL!$C$15, $D$11, 100%, $F$11)</f>
        <v>31.512499999999999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1.2509999999999999</v>
      </c>
      <c r="Q956" s="9">
        <v>19.053000000000001</v>
      </c>
      <c r="R956" s="9"/>
      <c r="S956" s="11"/>
    </row>
    <row r="957" spans="1:19" ht="15.75">
      <c r="A957" s="13">
        <v>70280</v>
      </c>
      <c r="B957" s="8">
        <f>CHOOSE( CONTROL!$C$32, 33.3473, 33.3456) * CHOOSE(CONTROL!$C$15, $D$11, 100%, $F$11)</f>
        <v>33.347299999999997</v>
      </c>
      <c r="C957" s="8">
        <f>CHOOSE( CONTROL!$C$32, 33.3552, 33.3536) * CHOOSE(CONTROL!$C$15, $D$11, 100%, $F$11)</f>
        <v>33.355200000000004</v>
      </c>
      <c r="D957" s="8">
        <f>CHOOSE( CONTROL!$C$32, 33.352, 33.3503) * CHOOSE( CONTROL!$C$15, $D$11, 100%, $F$11)</f>
        <v>33.351999999999997</v>
      </c>
      <c r="E957" s="12">
        <f>CHOOSE( CONTROL!$C$32, 33.352, 33.3503) * CHOOSE( CONTROL!$C$15, $D$11, 100%, $F$11)</f>
        <v>33.351999999999997</v>
      </c>
      <c r="F957" s="4">
        <f>CHOOSE( CONTROL!$C$32, 34.0542, 34.0526) * CHOOSE(CONTROL!$C$15, $D$11, 100%, $F$11)</f>
        <v>34.054200000000002</v>
      </c>
      <c r="G957" s="8">
        <f>CHOOSE( CONTROL!$C$32, 32.9665, 32.9649) * CHOOSE( CONTROL!$C$15, $D$11, 100%, $F$11)</f>
        <v>32.966500000000003</v>
      </c>
      <c r="H957" s="4">
        <f>CHOOSE( CONTROL!$C$32, 33.9021, 33.9004) * CHOOSE(CONTROL!$C$15, $D$11, 100%, $F$11)</f>
        <v>33.902099999999997</v>
      </c>
      <c r="I957" s="8">
        <f>CHOOSE( CONTROL!$C$32, 32.4854, 32.4838) * CHOOSE(CONTROL!$C$15, $D$11, 100%, $F$11)</f>
        <v>32.485399999999998</v>
      </c>
      <c r="J957" s="4">
        <f>CHOOSE( CONTROL!$C$32, 32.3527, 32.3511) * CHOOSE(CONTROL!$C$15, $D$11, 100%, $F$11)</f>
        <v>32.352699999999999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1.2927</v>
      </c>
      <c r="Q957" s="9">
        <v>19.688099999999999</v>
      </c>
      <c r="R957" s="9"/>
      <c r="S957" s="11"/>
    </row>
    <row r="958" spans="1:19" ht="15.75">
      <c r="A958" s="13">
        <v>70310</v>
      </c>
      <c r="B958" s="8">
        <f>CHOOSE( CONTROL!$C$32, 32.8113, 32.8097) * CHOOSE(CONTROL!$C$15, $D$11, 100%, $F$11)</f>
        <v>32.811300000000003</v>
      </c>
      <c r="C958" s="8">
        <f>CHOOSE( CONTROL!$C$32, 32.8193, 32.8176) * CHOOSE(CONTROL!$C$15, $D$11, 100%, $F$11)</f>
        <v>32.819299999999998</v>
      </c>
      <c r="D958" s="8">
        <f>CHOOSE( CONTROL!$C$32, 32.8163, 32.8146) * CHOOSE( CONTROL!$C$15, $D$11, 100%, $F$11)</f>
        <v>32.816299999999998</v>
      </c>
      <c r="E958" s="12">
        <f>CHOOSE( CONTROL!$C$32, 32.8162, 32.8145) * CHOOSE( CONTROL!$C$15, $D$11, 100%, $F$11)</f>
        <v>32.816200000000002</v>
      </c>
      <c r="F958" s="4">
        <f>CHOOSE( CONTROL!$C$32, 33.5183, 33.5166) * CHOOSE(CONTROL!$C$15, $D$11, 100%, $F$11)</f>
        <v>33.518300000000004</v>
      </c>
      <c r="G958" s="8">
        <f>CHOOSE( CONTROL!$C$32, 32.4371, 32.4354) * CHOOSE( CONTROL!$C$15, $D$11, 100%, $F$11)</f>
        <v>32.437100000000001</v>
      </c>
      <c r="H958" s="4">
        <f>CHOOSE( CONTROL!$C$32, 33.3724, 33.3708) * CHOOSE(CONTROL!$C$15, $D$11, 100%, $F$11)</f>
        <v>33.372399999999999</v>
      </c>
      <c r="I958" s="8">
        <f>CHOOSE( CONTROL!$C$32, 31.9658, 31.9641) * CHOOSE(CONTROL!$C$15, $D$11, 100%, $F$11)</f>
        <v>31.965800000000002</v>
      </c>
      <c r="J958" s="4">
        <f>CHOOSE( CONTROL!$C$32, 31.8326, 31.831) * CHOOSE(CONTROL!$C$15, $D$11, 100%, $F$11)</f>
        <v>31.832599999999999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1.2509999999999999</v>
      </c>
      <c r="Q958" s="9">
        <v>19.053000000000001</v>
      </c>
      <c r="R958" s="9"/>
      <c r="S958" s="11"/>
    </row>
    <row r="959" spans="1:19" ht="15.75">
      <c r="A959" s="13">
        <v>70341</v>
      </c>
      <c r="B959" s="8">
        <f>CHOOSE( CONTROL!$C$32, 34.2227, 34.221) * CHOOSE(CONTROL!$C$15, $D$11, 100%, $F$11)</f>
        <v>34.222700000000003</v>
      </c>
      <c r="C959" s="8">
        <f>CHOOSE( CONTROL!$C$32, 34.2306, 34.229) * CHOOSE(CONTROL!$C$15, $D$11, 100%, $F$11)</f>
        <v>34.230600000000003</v>
      </c>
      <c r="D959" s="8">
        <f>CHOOSE( CONTROL!$C$32, 34.2278, 34.2262) * CHOOSE( CONTROL!$C$15, $D$11, 100%, $F$11)</f>
        <v>34.227800000000002</v>
      </c>
      <c r="E959" s="12">
        <f>CHOOSE( CONTROL!$C$32, 34.2276, 34.226) * CHOOSE( CONTROL!$C$15, $D$11, 100%, $F$11)</f>
        <v>34.227600000000002</v>
      </c>
      <c r="F959" s="4">
        <f>CHOOSE( CONTROL!$C$32, 34.9296, 34.9279) * CHOOSE(CONTROL!$C$15, $D$11, 100%, $F$11)</f>
        <v>34.929600000000001</v>
      </c>
      <c r="G959" s="8">
        <f>CHOOSE( CONTROL!$C$32, 33.8321, 33.8304) * CHOOSE( CONTROL!$C$15, $D$11, 100%, $F$11)</f>
        <v>33.832099999999997</v>
      </c>
      <c r="H959" s="4">
        <f>CHOOSE( CONTROL!$C$32, 34.7672, 34.7656) * CHOOSE(CONTROL!$C$15, $D$11, 100%, $F$11)</f>
        <v>34.767200000000003</v>
      </c>
      <c r="I959" s="8">
        <f>CHOOSE( CONTROL!$C$32, 33.337, 33.3354) * CHOOSE(CONTROL!$C$15, $D$11, 100%, $F$11)</f>
        <v>33.337000000000003</v>
      </c>
      <c r="J959" s="4">
        <f>CHOOSE( CONTROL!$C$32, 33.2023, 33.2007) * CHOOSE(CONTROL!$C$15, $D$11, 100%, $F$11)</f>
        <v>33.202300000000001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1.2927</v>
      </c>
      <c r="Q959" s="9">
        <v>19.688099999999999</v>
      </c>
      <c r="R959" s="9"/>
      <c r="S959" s="11"/>
    </row>
    <row r="960" spans="1:19" ht="15.75">
      <c r="A960" s="13">
        <v>70372</v>
      </c>
      <c r="B960" s="8">
        <f>CHOOSE( CONTROL!$C$32, 31.5819, 31.5803) * CHOOSE(CONTROL!$C$15, $D$11, 100%, $F$11)</f>
        <v>31.581900000000001</v>
      </c>
      <c r="C960" s="8">
        <f>CHOOSE( CONTROL!$C$32, 31.5899, 31.5882) * CHOOSE(CONTROL!$C$15, $D$11, 100%, $F$11)</f>
        <v>31.5899</v>
      </c>
      <c r="D960" s="8">
        <f>CHOOSE( CONTROL!$C$32, 31.5872, 31.5855) * CHOOSE( CONTROL!$C$15, $D$11, 100%, $F$11)</f>
        <v>31.587199999999999</v>
      </c>
      <c r="E960" s="12">
        <f>CHOOSE( CONTROL!$C$32, 31.587, 31.5853) * CHOOSE( CONTROL!$C$15, $D$11, 100%, $F$11)</f>
        <v>31.587</v>
      </c>
      <c r="F960" s="4">
        <f>CHOOSE( CONTROL!$C$32, 32.2889, 32.2872) * CHOOSE(CONTROL!$C$15, $D$11, 100%, $F$11)</f>
        <v>32.288899999999998</v>
      </c>
      <c r="G960" s="8">
        <f>CHOOSE( CONTROL!$C$32, 31.2223, 31.2207) * CHOOSE( CONTROL!$C$15, $D$11, 100%, $F$11)</f>
        <v>31.222300000000001</v>
      </c>
      <c r="H960" s="4">
        <f>CHOOSE( CONTROL!$C$32, 32.1574, 32.1557) * CHOOSE(CONTROL!$C$15, $D$11, 100%, $F$11)</f>
        <v>32.157400000000003</v>
      </c>
      <c r="I960" s="8">
        <f>CHOOSE( CONTROL!$C$32, 30.7732, 30.7716) * CHOOSE(CONTROL!$C$15, $D$11, 100%, $F$11)</f>
        <v>30.773199999999999</v>
      </c>
      <c r="J960" s="4">
        <f>CHOOSE( CONTROL!$C$32, 30.6394, 30.6378) * CHOOSE(CONTROL!$C$15, $D$11, 100%, $F$11)</f>
        <v>30.639399999999998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1.2927</v>
      </c>
      <c r="Q960" s="9">
        <v>19.688099999999999</v>
      </c>
      <c r="R960" s="9"/>
      <c r="S960" s="11"/>
    </row>
    <row r="961" spans="1:19" ht="15.75">
      <c r="A961" s="13">
        <v>70402</v>
      </c>
      <c r="B961" s="8">
        <f>CHOOSE( CONTROL!$C$32, 30.9206, 30.919) * CHOOSE(CONTROL!$C$15, $D$11, 100%, $F$11)</f>
        <v>30.9206</v>
      </c>
      <c r="C961" s="8">
        <f>CHOOSE( CONTROL!$C$32, 30.9286, 30.927) * CHOOSE(CONTROL!$C$15, $D$11, 100%, $F$11)</f>
        <v>30.928599999999999</v>
      </c>
      <c r="D961" s="8">
        <f>CHOOSE( CONTROL!$C$32, 30.9259, 30.9242) * CHOOSE( CONTROL!$C$15, $D$11, 100%, $F$11)</f>
        <v>30.925899999999999</v>
      </c>
      <c r="E961" s="12">
        <f>CHOOSE( CONTROL!$C$32, 30.9257, 30.924) * CHOOSE( CONTROL!$C$15, $D$11, 100%, $F$11)</f>
        <v>30.925699999999999</v>
      </c>
      <c r="F961" s="4">
        <f>CHOOSE( CONTROL!$C$32, 31.6276, 31.6259) * CHOOSE(CONTROL!$C$15, $D$11, 100%, $F$11)</f>
        <v>31.627600000000001</v>
      </c>
      <c r="G961" s="8">
        <f>CHOOSE( CONTROL!$C$32, 30.5687, 30.5671) * CHOOSE( CONTROL!$C$15, $D$11, 100%, $F$11)</f>
        <v>30.5687</v>
      </c>
      <c r="H961" s="4">
        <f>CHOOSE( CONTROL!$C$32, 31.5038, 31.5022) * CHOOSE(CONTROL!$C$15, $D$11, 100%, $F$11)</f>
        <v>31.503799999999998</v>
      </c>
      <c r="I961" s="8">
        <f>CHOOSE( CONTROL!$C$32, 30.1309, 30.1293) * CHOOSE(CONTROL!$C$15, $D$11, 100%, $F$11)</f>
        <v>30.1309</v>
      </c>
      <c r="J961" s="4">
        <f>CHOOSE( CONTROL!$C$32, 29.9977, 29.996) * CHOOSE(CONTROL!$C$15, $D$11, 100%, $F$11)</f>
        <v>29.997699999999998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1.2509999999999999</v>
      </c>
      <c r="Q961" s="9">
        <v>19.053000000000001</v>
      </c>
      <c r="R961" s="9"/>
      <c r="S961" s="11"/>
    </row>
    <row r="962" spans="1:19" ht="15.75">
      <c r="A962" s="13">
        <v>70433</v>
      </c>
      <c r="B962" s="8">
        <f>CHOOSE( CONTROL!$C$32, 32.2914, 32.2903) * CHOOSE(CONTROL!$C$15, $D$11, 100%, $F$11)</f>
        <v>32.291400000000003</v>
      </c>
      <c r="C962" s="8">
        <f>CHOOSE( CONTROL!$C$32, 32.2967, 32.2956) * CHOOSE(CONTROL!$C$15, $D$11, 100%, $F$11)</f>
        <v>32.296700000000001</v>
      </c>
      <c r="D962" s="8">
        <f>CHOOSE( CONTROL!$C$32, 32.2996, 32.2985) * CHOOSE( CONTROL!$C$15, $D$11, 100%, $F$11)</f>
        <v>32.299599999999998</v>
      </c>
      <c r="E962" s="12">
        <f>CHOOSE( CONTROL!$C$32, 32.2981, 32.297) * CHOOSE( CONTROL!$C$15, $D$11, 100%, $F$11)</f>
        <v>32.298099999999998</v>
      </c>
      <c r="F962" s="4">
        <f>CHOOSE( CONTROL!$C$32, 33, 32.999) * CHOOSE(CONTROL!$C$15, $D$11, 100%, $F$11)</f>
        <v>33</v>
      </c>
      <c r="G962" s="8">
        <f>CHOOSE( CONTROL!$C$32, 31.9253, 31.9242) * CHOOSE( CONTROL!$C$15, $D$11, 100%, $F$11)</f>
        <v>31.9253</v>
      </c>
      <c r="H962" s="4">
        <f>CHOOSE( CONTROL!$C$32, 32.8602, 32.8592) * CHOOSE(CONTROL!$C$15, $D$11, 100%, $F$11)</f>
        <v>32.860199999999999</v>
      </c>
      <c r="I962" s="8">
        <f>CHOOSE( CONTROL!$C$32, 31.4644, 31.4633) * CHOOSE(CONTROL!$C$15, $D$11, 100%, $F$11)</f>
        <v>31.464400000000001</v>
      </c>
      <c r="J962" s="4">
        <f>CHOOSE( CONTROL!$C$32, 31.3296, 31.3286) * CHOOSE(CONTROL!$C$15, $D$11, 100%, $F$11)</f>
        <v>31.329599999999999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1.2927</v>
      </c>
      <c r="Q962" s="9">
        <v>19.688099999999999</v>
      </c>
      <c r="R962" s="9"/>
      <c r="S962" s="11"/>
    </row>
    <row r="963" spans="1:19" ht="15.75">
      <c r="A963" s="13">
        <v>70463</v>
      </c>
      <c r="B963" s="8">
        <f>CHOOSE( CONTROL!$C$32, 34.8253, 34.8242) * CHOOSE(CONTROL!$C$15, $D$11, 100%, $F$11)</f>
        <v>34.825299999999999</v>
      </c>
      <c r="C963" s="8">
        <f>CHOOSE( CONTROL!$C$32, 34.8304, 34.8293) * CHOOSE(CONTROL!$C$15, $D$11, 100%, $F$11)</f>
        <v>34.830399999999997</v>
      </c>
      <c r="D963" s="8">
        <f>CHOOSE( CONTROL!$C$32, 34.8126, 34.8115) * CHOOSE( CONTROL!$C$15, $D$11, 100%, $F$11)</f>
        <v>34.812600000000003</v>
      </c>
      <c r="E963" s="12">
        <f>CHOOSE( CONTROL!$C$32, 34.8186, 34.8175) * CHOOSE( CONTROL!$C$15, $D$11, 100%, $F$11)</f>
        <v>34.818600000000004</v>
      </c>
      <c r="F963" s="4">
        <f>CHOOSE( CONTROL!$C$32, 35.4906, 35.4895) * CHOOSE(CONTROL!$C$15, $D$11, 100%, $F$11)</f>
        <v>35.490600000000001</v>
      </c>
      <c r="G963" s="8">
        <f>CHOOSE( CONTROL!$C$32, 34.4291, 34.428) * CHOOSE( CONTROL!$C$15, $D$11, 100%, $F$11)</f>
        <v>34.429099999999998</v>
      </c>
      <c r="H963" s="4">
        <f>CHOOSE( CONTROL!$C$32, 35.3216, 35.3205) * CHOOSE(CONTROL!$C$15, $D$11, 100%, $F$11)</f>
        <v>35.321599999999997</v>
      </c>
      <c r="I963" s="8">
        <f>CHOOSE( CONTROL!$C$32, 33.9869, 33.9859) * CHOOSE(CONTROL!$C$15, $D$11, 100%, $F$11)</f>
        <v>33.986899999999999</v>
      </c>
      <c r="J963" s="4">
        <f>CHOOSE( CONTROL!$C$32, 33.7892, 33.7882) * CHOOSE(CONTROL!$C$15, $D$11, 100%, $F$11)</f>
        <v>33.789200000000001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70494</v>
      </c>
      <c r="B964" s="8">
        <f>CHOOSE( CONTROL!$C$32, 34.762, 34.7609) * CHOOSE(CONTROL!$C$15, $D$11, 100%, $F$11)</f>
        <v>34.762</v>
      </c>
      <c r="C964" s="8">
        <f>CHOOSE( CONTROL!$C$32, 34.7671, 34.766) * CHOOSE(CONTROL!$C$15, $D$11, 100%, $F$11)</f>
        <v>34.767099999999999</v>
      </c>
      <c r="D964" s="8">
        <f>CHOOSE( CONTROL!$C$32, 34.7507, 34.7496) * CHOOSE( CONTROL!$C$15, $D$11, 100%, $F$11)</f>
        <v>34.750700000000002</v>
      </c>
      <c r="E964" s="12">
        <f>CHOOSE( CONTROL!$C$32, 34.7562, 34.7551) * CHOOSE( CONTROL!$C$15, $D$11, 100%, $F$11)</f>
        <v>34.7562</v>
      </c>
      <c r="F964" s="4">
        <f>CHOOSE( CONTROL!$C$32, 35.4273, 35.4262) * CHOOSE(CONTROL!$C$15, $D$11, 100%, $F$11)</f>
        <v>35.427300000000002</v>
      </c>
      <c r="G964" s="8">
        <f>CHOOSE( CONTROL!$C$32, 34.3675, 34.3664) * CHOOSE( CONTROL!$C$15, $D$11, 100%, $F$11)</f>
        <v>34.3675</v>
      </c>
      <c r="H964" s="4">
        <f>CHOOSE( CONTROL!$C$32, 35.259, 35.258) * CHOOSE(CONTROL!$C$15, $D$11, 100%, $F$11)</f>
        <v>35.259</v>
      </c>
      <c r="I964" s="8">
        <f>CHOOSE( CONTROL!$C$32, 33.9299, 33.9289) * CHOOSE(CONTROL!$C$15, $D$11, 100%, $F$11)</f>
        <v>33.929900000000004</v>
      </c>
      <c r="J964" s="4">
        <f>CHOOSE( CONTROL!$C$32, 33.7278, 33.7267) * CHOOSE(CONTROL!$C$15, $D$11, 100%, $F$11)</f>
        <v>33.727800000000002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70525</v>
      </c>
      <c r="B965" s="8">
        <f>CHOOSE( CONTROL!$C$32, 35.7871, 35.786) * CHOOSE(CONTROL!$C$15, $D$11, 100%, $F$11)</f>
        <v>35.787100000000002</v>
      </c>
      <c r="C965" s="8">
        <f>CHOOSE( CONTROL!$C$32, 35.7921, 35.791) * CHOOSE(CONTROL!$C$15, $D$11, 100%, $F$11)</f>
        <v>35.792099999999998</v>
      </c>
      <c r="D965" s="8">
        <f>CHOOSE( CONTROL!$C$32, 35.7708, 35.7698) * CHOOSE( CONTROL!$C$15, $D$11, 100%, $F$11)</f>
        <v>35.770800000000001</v>
      </c>
      <c r="E965" s="12">
        <f>CHOOSE( CONTROL!$C$32, 35.7781, 35.777) * CHOOSE( CONTROL!$C$15, $D$11, 100%, $F$11)</f>
        <v>35.778100000000002</v>
      </c>
      <c r="F965" s="4">
        <f>CHOOSE( CONTROL!$C$32, 36.4523, 36.4513) * CHOOSE(CONTROL!$C$15, $D$11, 100%, $F$11)</f>
        <v>36.452300000000001</v>
      </c>
      <c r="G965" s="8">
        <f>CHOOSE( CONTROL!$C$32, 35.3701, 35.369) * CHOOSE( CONTROL!$C$15, $D$11, 100%, $F$11)</f>
        <v>35.370100000000001</v>
      </c>
      <c r="H965" s="4">
        <f>CHOOSE( CONTROL!$C$32, 36.2721, 36.271) * CHOOSE(CONTROL!$C$15, $D$11, 100%, $F$11)</f>
        <v>36.272100000000002</v>
      </c>
      <c r="I965" s="8">
        <f>CHOOSE( CONTROL!$C$32, 34.8873, 34.8862) * CHOOSE(CONTROL!$C$15, $D$11, 100%, $F$11)</f>
        <v>34.887300000000003</v>
      </c>
      <c r="J965" s="4">
        <f>CHOOSE( CONTROL!$C$32, 34.7226, 34.7215) * CHOOSE(CONTROL!$C$15, $D$11, 100%, $F$11)</f>
        <v>34.7226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70553</v>
      </c>
      <c r="B966" s="8">
        <f>CHOOSE( CONTROL!$C$32, 33.4741, 33.4731) * CHOOSE(CONTROL!$C$15, $D$11, 100%, $F$11)</f>
        <v>33.4741</v>
      </c>
      <c r="C966" s="8">
        <f>CHOOSE( CONTROL!$C$32, 33.4792, 33.4781) * CHOOSE(CONTROL!$C$15, $D$11, 100%, $F$11)</f>
        <v>33.479199999999999</v>
      </c>
      <c r="D966" s="8">
        <f>CHOOSE( CONTROL!$C$32, 33.4578, 33.4567) * CHOOSE( CONTROL!$C$15, $D$11, 100%, $F$11)</f>
        <v>33.457799999999999</v>
      </c>
      <c r="E966" s="12">
        <f>CHOOSE( CONTROL!$C$32, 33.4651, 33.464) * CHOOSE( CONTROL!$C$15, $D$11, 100%, $F$11)</f>
        <v>33.4651</v>
      </c>
      <c r="F966" s="4">
        <f>CHOOSE( CONTROL!$C$32, 34.1394, 34.1383) * CHOOSE(CONTROL!$C$15, $D$11, 100%, $F$11)</f>
        <v>34.139400000000002</v>
      </c>
      <c r="G966" s="8">
        <f>CHOOSE( CONTROL!$C$32, 33.0842, 33.0831) * CHOOSE( CONTROL!$C$15, $D$11, 100%, $F$11)</f>
        <v>33.084200000000003</v>
      </c>
      <c r="H966" s="4">
        <f>CHOOSE( CONTROL!$C$32, 33.9863, 33.9852) * CHOOSE(CONTROL!$C$15, $D$11, 100%, $F$11)</f>
        <v>33.9863</v>
      </c>
      <c r="I966" s="8">
        <f>CHOOSE( CONTROL!$C$32, 32.6411, 32.64) * CHOOSE(CONTROL!$C$15, $D$11, 100%, $F$11)</f>
        <v>32.641100000000002</v>
      </c>
      <c r="J966" s="4">
        <f>CHOOSE( CONTROL!$C$32, 32.4779, 32.4768) * CHOOSE(CONTROL!$C$15, $D$11, 100%, $F$11)</f>
        <v>32.477899999999998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70584</v>
      </c>
      <c r="B967" s="8">
        <f>CHOOSE( CONTROL!$C$32, 32.7618, 32.7607) * CHOOSE(CONTROL!$C$15, $D$11, 100%, $F$11)</f>
        <v>32.761800000000001</v>
      </c>
      <c r="C967" s="8">
        <f>CHOOSE( CONTROL!$C$32, 32.7668, 32.7658) * CHOOSE(CONTROL!$C$15, $D$11, 100%, $F$11)</f>
        <v>32.766800000000003</v>
      </c>
      <c r="D967" s="8">
        <f>CHOOSE( CONTROL!$C$32, 32.7448, 32.7437) * CHOOSE( CONTROL!$C$15, $D$11, 100%, $F$11)</f>
        <v>32.744799999999998</v>
      </c>
      <c r="E967" s="12">
        <f>CHOOSE( CONTROL!$C$32, 32.7523, 32.7512) * CHOOSE( CONTROL!$C$15, $D$11, 100%, $F$11)</f>
        <v>32.752299999999998</v>
      </c>
      <c r="F967" s="4">
        <f>CHOOSE( CONTROL!$C$32, 33.427, 33.426) * CHOOSE(CONTROL!$C$15, $D$11, 100%, $F$11)</f>
        <v>33.427</v>
      </c>
      <c r="G967" s="8">
        <f>CHOOSE( CONTROL!$C$32, 32.3797, 32.3786) * CHOOSE( CONTROL!$C$15, $D$11, 100%, $F$11)</f>
        <v>32.3797</v>
      </c>
      <c r="H967" s="4">
        <f>CHOOSE( CONTROL!$C$32, 33.2822, 33.2812) * CHOOSE(CONTROL!$C$15, $D$11, 100%, $F$11)</f>
        <v>33.282200000000003</v>
      </c>
      <c r="I967" s="8">
        <f>CHOOSE( CONTROL!$C$32, 31.9474, 31.9463) * CHOOSE(CONTROL!$C$15, $D$11, 100%, $F$11)</f>
        <v>31.947399999999998</v>
      </c>
      <c r="J967" s="4">
        <f>CHOOSE( CONTROL!$C$32, 31.7865, 31.7855) * CHOOSE(CONTROL!$C$15, $D$11, 100%, $F$11)</f>
        <v>31.7865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70614</v>
      </c>
      <c r="B968" s="8">
        <f>CHOOSE( CONTROL!$C$32, 33.2603, 33.2592) * CHOOSE(CONTROL!$C$15, $D$11, 100%, $F$11)</f>
        <v>33.260300000000001</v>
      </c>
      <c r="C968" s="8">
        <f>CHOOSE( CONTROL!$C$32, 33.2648, 33.2637) * CHOOSE(CONTROL!$C$15, $D$11, 100%, $F$11)</f>
        <v>33.264800000000001</v>
      </c>
      <c r="D968" s="8">
        <f>CHOOSE( CONTROL!$C$32, 33.2677, 33.2666) * CHOOSE( CONTROL!$C$15, $D$11, 100%, $F$11)</f>
        <v>33.267699999999998</v>
      </c>
      <c r="E968" s="12">
        <f>CHOOSE( CONTROL!$C$32, 33.2662, 33.2651) * CHOOSE( CONTROL!$C$15, $D$11, 100%, $F$11)</f>
        <v>33.266199999999998</v>
      </c>
      <c r="F968" s="4">
        <f>CHOOSE( CONTROL!$C$32, 33.9686, 33.9675) * CHOOSE(CONTROL!$C$15, $D$11, 100%, $F$11)</f>
        <v>33.968600000000002</v>
      </c>
      <c r="G968" s="8">
        <f>CHOOSE( CONTROL!$C$32, 32.8821, 32.881) * CHOOSE( CONTROL!$C$15, $D$11, 100%, $F$11)</f>
        <v>32.882100000000001</v>
      </c>
      <c r="H968" s="4">
        <f>CHOOSE( CONTROL!$C$32, 33.8175, 33.8164) * CHOOSE(CONTROL!$C$15, $D$11, 100%, $F$11)</f>
        <v>33.817500000000003</v>
      </c>
      <c r="I968" s="8">
        <f>CHOOSE( CONTROL!$C$32, 32.403, 32.4019) * CHOOSE(CONTROL!$C$15, $D$11, 100%, $F$11)</f>
        <v>32.402999999999999</v>
      </c>
      <c r="J968" s="4">
        <f>CHOOSE( CONTROL!$C$32, 32.2696, 32.2686) * CHOOSE(CONTROL!$C$15, $D$11, 100%, $F$11)</f>
        <v>32.269599999999997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1.2509999999999999</v>
      </c>
      <c r="Q968" s="9">
        <v>19.053000000000001</v>
      </c>
      <c r="R968" s="9"/>
      <c r="S968" s="11"/>
    </row>
    <row r="969" spans="1:19" ht="15.75">
      <c r="A969" s="13">
        <v>70645</v>
      </c>
      <c r="B969" s="8">
        <f>CHOOSE( CONTROL!$C$32, 34.1482, 34.1466) * CHOOSE(CONTROL!$C$15, $D$11, 100%, $F$11)</f>
        <v>34.148200000000003</v>
      </c>
      <c r="C969" s="8">
        <f>CHOOSE( CONTROL!$C$32, 34.1562, 34.1545) * CHOOSE(CONTROL!$C$15, $D$11, 100%, $F$11)</f>
        <v>34.156199999999998</v>
      </c>
      <c r="D969" s="8">
        <f>CHOOSE( CONTROL!$C$32, 34.1529, 34.1513) * CHOOSE( CONTROL!$C$15, $D$11, 100%, $F$11)</f>
        <v>34.152900000000002</v>
      </c>
      <c r="E969" s="12">
        <f>CHOOSE( CONTROL!$C$32, 34.1529, 34.1513) * CHOOSE( CONTROL!$C$15, $D$11, 100%, $F$11)</f>
        <v>34.152900000000002</v>
      </c>
      <c r="F969" s="4">
        <f>CHOOSE( CONTROL!$C$32, 34.8552, 34.8535) * CHOOSE(CONTROL!$C$15, $D$11, 100%, $F$11)</f>
        <v>34.855200000000004</v>
      </c>
      <c r="G969" s="8">
        <f>CHOOSE( CONTROL!$C$32, 33.7581, 33.7565) * CHOOSE( CONTROL!$C$15, $D$11, 100%, $F$11)</f>
        <v>33.758099999999999</v>
      </c>
      <c r="H969" s="4">
        <f>CHOOSE( CONTROL!$C$32, 34.6936, 34.692) * CHOOSE(CONTROL!$C$15, $D$11, 100%, $F$11)</f>
        <v>34.693600000000004</v>
      </c>
      <c r="I969" s="8">
        <f>CHOOSE( CONTROL!$C$32, 33.2631, 33.2615) * CHOOSE(CONTROL!$C$15, $D$11, 100%, $F$11)</f>
        <v>33.263100000000001</v>
      </c>
      <c r="J969" s="4">
        <f>CHOOSE( CONTROL!$C$32, 33.13, 33.1284) * CHOOSE(CONTROL!$C$15, $D$11, 100%, $F$11)</f>
        <v>33.130000000000003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1.2927</v>
      </c>
      <c r="Q969" s="9">
        <v>19.688099999999999</v>
      </c>
      <c r="R969" s="9"/>
      <c r="S969" s="11"/>
    </row>
    <row r="970" spans="1:19" ht="15.75">
      <c r="A970" s="13">
        <v>70675</v>
      </c>
      <c r="B970" s="8">
        <f>CHOOSE( CONTROL!$C$32, 33.5994, 33.5977) * CHOOSE(CONTROL!$C$15, $D$11, 100%, $F$11)</f>
        <v>33.599400000000003</v>
      </c>
      <c r="C970" s="8">
        <f>CHOOSE( CONTROL!$C$32, 33.6074, 33.6057) * CHOOSE(CONTROL!$C$15, $D$11, 100%, $F$11)</f>
        <v>33.607399999999998</v>
      </c>
      <c r="D970" s="8">
        <f>CHOOSE( CONTROL!$C$32, 33.6043, 33.6027) * CHOOSE( CONTROL!$C$15, $D$11, 100%, $F$11)</f>
        <v>33.604300000000002</v>
      </c>
      <c r="E970" s="12">
        <f>CHOOSE( CONTROL!$C$32, 33.6042, 33.6026) * CHOOSE( CONTROL!$C$15, $D$11, 100%, $F$11)</f>
        <v>33.604199999999999</v>
      </c>
      <c r="F970" s="4">
        <f>CHOOSE( CONTROL!$C$32, 34.3063, 34.3047) * CHOOSE(CONTROL!$C$15, $D$11, 100%, $F$11)</f>
        <v>34.3063</v>
      </c>
      <c r="G970" s="8">
        <f>CHOOSE( CONTROL!$C$32, 33.2159, 33.2143) * CHOOSE( CONTROL!$C$15, $D$11, 100%, $F$11)</f>
        <v>33.215899999999998</v>
      </c>
      <c r="H970" s="4">
        <f>CHOOSE( CONTROL!$C$32, 34.1512, 34.1496) * CHOOSE(CONTROL!$C$15, $D$11, 100%, $F$11)</f>
        <v>34.151200000000003</v>
      </c>
      <c r="I970" s="8">
        <f>CHOOSE( CONTROL!$C$32, 32.731, 32.7293) * CHOOSE(CONTROL!$C$15, $D$11, 100%, $F$11)</f>
        <v>32.731000000000002</v>
      </c>
      <c r="J970" s="4">
        <f>CHOOSE( CONTROL!$C$32, 32.5974, 32.5958) * CHOOSE(CONTROL!$C$15, $D$11, 100%, $F$11)</f>
        <v>32.5974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1.2509999999999999</v>
      </c>
      <c r="Q970" s="9">
        <v>19.053000000000001</v>
      </c>
      <c r="R970" s="9"/>
      <c r="S970" s="11"/>
    </row>
    <row r="971" spans="1:19" ht="15.75">
      <c r="A971" s="13">
        <v>70706</v>
      </c>
      <c r="B971" s="8">
        <f>CHOOSE( CONTROL!$C$32, 35.0446, 35.043) * CHOOSE(CONTROL!$C$15, $D$11, 100%, $F$11)</f>
        <v>35.044600000000003</v>
      </c>
      <c r="C971" s="8">
        <f>CHOOSE( CONTROL!$C$32, 35.0526, 35.051) * CHOOSE(CONTROL!$C$15, $D$11, 100%, $F$11)</f>
        <v>35.052599999999998</v>
      </c>
      <c r="D971" s="8">
        <f>CHOOSE( CONTROL!$C$32, 35.0498, 35.0482) * CHOOSE( CONTROL!$C$15, $D$11, 100%, $F$11)</f>
        <v>35.049799999999998</v>
      </c>
      <c r="E971" s="12">
        <f>CHOOSE( CONTROL!$C$32, 35.0496, 35.048) * CHOOSE( CONTROL!$C$15, $D$11, 100%, $F$11)</f>
        <v>35.049599999999998</v>
      </c>
      <c r="F971" s="4">
        <f>CHOOSE( CONTROL!$C$32, 35.7516, 35.7499) * CHOOSE(CONTROL!$C$15, $D$11, 100%, $F$11)</f>
        <v>35.751600000000003</v>
      </c>
      <c r="G971" s="8">
        <f>CHOOSE( CONTROL!$C$32, 34.6444, 34.6428) * CHOOSE( CONTROL!$C$15, $D$11, 100%, $F$11)</f>
        <v>34.644399999999997</v>
      </c>
      <c r="H971" s="4">
        <f>CHOOSE( CONTROL!$C$32, 35.5795, 35.5779) * CHOOSE(CONTROL!$C$15, $D$11, 100%, $F$11)</f>
        <v>35.579500000000003</v>
      </c>
      <c r="I971" s="8">
        <f>CHOOSE( CONTROL!$C$32, 34.1351, 34.1335) * CHOOSE(CONTROL!$C$15, $D$11, 100%, $F$11)</f>
        <v>34.135100000000001</v>
      </c>
      <c r="J971" s="4">
        <f>CHOOSE( CONTROL!$C$32, 34, 33.9984) * CHOOSE(CONTROL!$C$15, $D$11, 100%, $F$11)</f>
        <v>34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1.2927</v>
      </c>
      <c r="Q971" s="9">
        <v>19.688099999999999</v>
      </c>
      <c r="R971" s="9"/>
      <c r="S971" s="11"/>
    </row>
    <row r="972" spans="1:19" ht="15.75">
      <c r="A972" s="13">
        <v>70737</v>
      </c>
      <c r="B972" s="8">
        <f>CHOOSE( CONTROL!$C$32, 32.3404, 32.3388) * CHOOSE(CONTROL!$C$15, $D$11, 100%, $F$11)</f>
        <v>32.340400000000002</v>
      </c>
      <c r="C972" s="8">
        <f>CHOOSE( CONTROL!$C$32, 32.3484, 32.3468) * CHOOSE(CONTROL!$C$15, $D$11, 100%, $F$11)</f>
        <v>32.348399999999998</v>
      </c>
      <c r="D972" s="8">
        <f>CHOOSE( CONTROL!$C$32, 32.3457, 32.3441) * CHOOSE( CONTROL!$C$15, $D$11, 100%, $F$11)</f>
        <v>32.345700000000001</v>
      </c>
      <c r="E972" s="12">
        <f>CHOOSE( CONTROL!$C$32, 32.3455, 32.3439) * CHOOSE( CONTROL!$C$15, $D$11, 100%, $F$11)</f>
        <v>32.345500000000001</v>
      </c>
      <c r="F972" s="4">
        <f>CHOOSE( CONTROL!$C$32, 33.0474, 33.0457) * CHOOSE(CONTROL!$C$15, $D$11, 100%, $F$11)</f>
        <v>33.047400000000003</v>
      </c>
      <c r="G972" s="8">
        <f>CHOOSE( CONTROL!$C$32, 31.972, 31.9703) * CHOOSE( CONTROL!$C$15, $D$11, 100%, $F$11)</f>
        <v>31.972000000000001</v>
      </c>
      <c r="H972" s="4">
        <f>CHOOSE( CONTROL!$C$32, 32.907, 32.9054) * CHOOSE(CONTROL!$C$15, $D$11, 100%, $F$11)</f>
        <v>32.906999999999996</v>
      </c>
      <c r="I972" s="8">
        <f>CHOOSE( CONTROL!$C$32, 31.5097, 31.5081) * CHOOSE(CONTROL!$C$15, $D$11, 100%, $F$11)</f>
        <v>31.509699999999999</v>
      </c>
      <c r="J972" s="4">
        <f>CHOOSE( CONTROL!$C$32, 31.3756, 31.374) * CHOOSE(CONTROL!$C$15, $D$11, 100%, $F$11)</f>
        <v>31.375599999999999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1.2927</v>
      </c>
      <c r="Q972" s="9">
        <v>19.688099999999999</v>
      </c>
      <c r="R972" s="9"/>
      <c r="S972" s="11"/>
    </row>
    <row r="973" spans="1:19" ht="15.75">
      <c r="A973" s="13">
        <v>70767</v>
      </c>
      <c r="B973" s="8">
        <f>CHOOSE( CONTROL!$C$32, 31.6633, 31.6616) * CHOOSE(CONTROL!$C$15, $D$11, 100%, $F$11)</f>
        <v>31.6633</v>
      </c>
      <c r="C973" s="8">
        <f>CHOOSE( CONTROL!$C$32, 31.6712, 31.6696) * CHOOSE(CONTROL!$C$15, $D$11, 100%, $F$11)</f>
        <v>31.671199999999999</v>
      </c>
      <c r="D973" s="8">
        <f>CHOOSE( CONTROL!$C$32, 31.6685, 31.6668) * CHOOSE( CONTROL!$C$15, $D$11, 100%, $F$11)</f>
        <v>31.668500000000002</v>
      </c>
      <c r="E973" s="12">
        <f>CHOOSE( CONTROL!$C$32, 31.6683, 31.6666) * CHOOSE( CONTROL!$C$15, $D$11, 100%, $F$11)</f>
        <v>31.668299999999999</v>
      </c>
      <c r="F973" s="4">
        <f>CHOOSE( CONTROL!$C$32, 32.3702, 32.3686) * CHOOSE(CONTROL!$C$15, $D$11, 100%, $F$11)</f>
        <v>32.370199999999997</v>
      </c>
      <c r="G973" s="8">
        <f>CHOOSE( CONTROL!$C$32, 31.3027, 31.301) * CHOOSE( CONTROL!$C$15, $D$11, 100%, $F$11)</f>
        <v>31.302700000000002</v>
      </c>
      <c r="H973" s="4">
        <f>CHOOSE( CONTROL!$C$32, 32.2378, 32.2361) * CHOOSE(CONTROL!$C$15, $D$11, 100%, $F$11)</f>
        <v>32.2378</v>
      </c>
      <c r="I973" s="8">
        <f>CHOOSE( CONTROL!$C$32, 30.852, 30.8504) * CHOOSE(CONTROL!$C$15, $D$11, 100%, $F$11)</f>
        <v>30.852</v>
      </c>
      <c r="J973" s="4">
        <f>CHOOSE( CONTROL!$C$32, 30.7184, 30.7168) * CHOOSE(CONTROL!$C$15, $D$11, 100%, $F$11)</f>
        <v>30.718399999999999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1.2509999999999999</v>
      </c>
      <c r="Q973" s="9">
        <v>19.053000000000001</v>
      </c>
      <c r="R973" s="9"/>
      <c r="S973" s="11"/>
    </row>
    <row r="974" spans="1:19" ht="15.75">
      <c r="A974" s="13">
        <v>70798</v>
      </c>
      <c r="B974" s="8">
        <f>CHOOSE( CONTROL!$C$32, 33.067, 33.0659) * CHOOSE(CONTROL!$C$15, $D$11, 100%, $F$11)</f>
        <v>33.067</v>
      </c>
      <c r="C974" s="8">
        <f>CHOOSE( CONTROL!$C$32, 33.0723, 33.0712) * CHOOSE(CONTROL!$C$15, $D$11, 100%, $F$11)</f>
        <v>33.072299999999998</v>
      </c>
      <c r="D974" s="8">
        <f>CHOOSE( CONTROL!$C$32, 33.0752, 33.0741) * CHOOSE( CONTROL!$C$15, $D$11, 100%, $F$11)</f>
        <v>33.075200000000002</v>
      </c>
      <c r="E974" s="12">
        <f>CHOOSE( CONTROL!$C$32, 33.0737, 33.0726) * CHOOSE( CONTROL!$C$15, $D$11, 100%, $F$11)</f>
        <v>33.073700000000002</v>
      </c>
      <c r="F974" s="4">
        <f>CHOOSE( CONTROL!$C$32, 33.7757, 33.7746) * CHOOSE(CONTROL!$C$15, $D$11, 100%, $F$11)</f>
        <v>33.775700000000001</v>
      </c>
      <c r="G974" s="8">
        <f>CHOOSE( CONTROL!$C$32, 32.6918, 32.6908) * CHOOSE( CONTROL!$C$15, $D$11, 100%, $F$11)</f>
        <v>32.691800000000001</v>
      </c>
      <c r="H974" s="4">
        <f>CHOOSE( CONTROL!$C$32, 33.6268, 33.6257) * CHOOSE(CONTROL!$C$15, $D$11, 100%, $F$11)</f>
        <v>33.626800000000003</v>
      </c>
      <c r="I974" s="8">
        <f>CHOOSE( CONTROL!$C$32, 32.2175, 32.2164) * CHOOSE(CONTROL!$C$15, $D$11, 100%, $F$11)</f>
        <v>32.217500000000001</v>
      </c>
      <c r="J974" s="4">
        <f>CHOOSE( CONTROL!$C$32, 32.0824, 32.0813) * CHOOSE(CONTROL!$C$15, $D$11, 100%, $F$11)</f>
        <v>32.0824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1.2927</v>
      </c>
      <c r="Q974" s="9">
        <v>19.688099999999999</v>
      </c>
      <c r="R974" s="9"/>
      <c r="S974" s="11"/>
    </row>
    <row r="975" spans="1:19" ht="15.75">
      <c r="A975" s="13">
        <v>70828</v>
      </c>
      <c r="B975" s="8">
        <f>CHOOSE( CONTROL!$C$32, 35.6618, 35.6607) * CHOOSE(CONTROL!$C$15, $D$11, 100%, $F$11)</f>
        <v>35.661799999999999</v>
      </c>
      <c r="C975" s="8">
        <f>CHOOSE( CONTROL!$C$32, 35.6669, 35.6658) * CHOOSE(CONTROL!$C$15, $D$11, 100%, $F$11)</f>
        <v>35.666899999999998</v>
      </c>
      <c r="D975" s="8">
        <f>CHOOSE( CONTROL!$C$32, 35.6491, 35.648) * CHOOSE( CONTROL!$C$15, $D$11, 100%, $F$11)</f>
        <v>35.649099999999997</v>
      </c>
      <c r="E975" s="12">
        <f>CHOOSE( CONTROL!$C$32, 35.6551, 35.654) * CHOOSE( CONTROL!$C$15, $D$11, 100%, $F$11)</f>
        <v>35.655099999999997</v>
      </c>
      <c r="F975" s="4">
        <f>CHOOSE( CONTROL!$C$32, 36.3271, 36.326) * CHOOSE(CONTROL!$C$15, $D$11, 100%, $F$11)</f>
        <v>36.327100000000002</v>
      </c>
      <c r="G975" s="8">
        <f>CHOOSE( CONTROL!$C$32, 35.2558, 35.2547) * CHOOSE( CONTROL!$C$15, $D$11, 100%, $F$11)</f>
        <v>35.255800000000001</v>
      </c>
      <c r="H975" s="4">
        <f>CHOOSE( CONTROL!$C$32, 36.1483, 36.1473) * CHOOSE(CONTROL!$C$15, $D$11, 100%, $F$11)</f>
        <v>36.148299999999999</v>
      </c>
      <c r="I975" s="8">
        <f>CHOOSE( CONTROL!$C$32, 34.7992, 34.7981) * CHOOSE(CONTROL!$C$15, $D$11, 100%, $F$11)</f>
        <v>34.799199999999999</v>
      </c>
      <c r="J975" s="4">
        <f>CHOOSE( CONTROL!$C$32, 34.6011, 34.6) * CHOOSE(CONTROL!$C$15, $D$11, 100%, $F$11)</f>
        <v>34.601100000000002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70859</v>
      </c>
      <c r="B976" s="8">
        <f>CHOOSE( CONTROL!$C$32, 35.597, 35.5959) * CHOOSE(CONTROL!$C$15, $D$11, 100%, $F$11)</f>
        <v>35.597000000000001</v>
      </c>
      <c r="C976" s="8">
        <f>CHOOSE( CONTROL!$C$32, 35.6021, 35.601) * CHOOSE(CONTROL!$C$15, $D$11, 100%, $F$11)</f>
        <v>35.6021</v>
      </c>
      <c r="D976" s="8">
        <f>CHOOSE( CONTROL!$C$32, 35.5857, 35.5846) * CHOOSE( CONTROL!$C$15, $D$11, 100%, $F$11)</f>
        <v>35.585700000000003</v>
      </c>
      <c r="E976" s="12">
        <f>CHOOSE( CONTROL!$C$32, 35.5912, 35.5901) * CHOOSE( CONTROL!$C$15, $D$11, 100%, $F$11)</f>
        <v>35.591200000000001</v>
      </c>
      <c r="F976" s="4">
        <f>CHOOSE( CONTROL!$C$32, 36.2623, 36.2612) * CHOOSE(CONTROL!$C$15, $D$11, 100%, $F$11)</f>
        <v>36.262300000000003</v>
      </c>
      <c r="G976" s="8">
        <f>CHOOSE( CONTROL!$C$32, 35.1927, 35.1917) * CHOOSE( CONTROL!$C$15, $D$11, 100%, $F$11)</f>
        <v>35.192700000000002</v>
      </c>
      <c r="H976" s="4">
        <f>CHOOSE( CONTROL!$C$32, 36.0843, 36.0832) * CHOOSE(CONTROL!$C$15, $D$11, 100%, $F$11)</f>
        <v>36.084299999999999</v>
      </c>
      <c r="I976" s="8">
        <f>CHOOSE( CONTROL!$C$32, 34.7407, 34.7396) * CHOOSE(CONTROL!$C$15, $D$11, 100%, $F$11)</f>
        <v>34.740699999999997</v>
      </c>
      <c r="J976" s="4">
        <f>CHOOSE( CONTROL!$C$32, 34.5381, 34.5371) * CHOOSE(CONTROL!$C$15, $D$11, 100%, $F$11)</f>
        <v>34.5381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70890</v>
      </c>
      <c r="B977" s="8">
        <f>CHOOSE( CONTROL!$C$32, 36.6467, 36.6456) * CHOOSE(CONTROL!$C$15, $D$11, 100%, $F$11)</f>
        <v>36.646700000000003</v>
      </c>
      <c r="C977" s="8">
        <f>CHOOSE( CONTROL!$C$32, 36.6518, 36.6507) * CHOOSE(CONTROL!$C$15, $D$11, 100%, $F$11)</f>
        <v>36.651800000000001</v>
      </c>
      <c r="D977" s="8">
        <f>CHOOSE( CONTROL!$C$32, 36.6305, 36.6294) * CHOOSE( CONTROL!$C$15, $D$11, 100%, $F$11)</f>
        <v>36.630499999999998</v>
      </c>
      <c r="E977" s="12">
        <f>CHOOSE( CONTROL!$C$32, 36.6377, 36.6366) * CHOOSE( CONTROL!$C$15, $D$11, 100%, $F$11)</f>
        <v>36.637700000000002</v>
      </c>
      <c r="F977" s="4">
        <f>CHOOSE( CONTROL!$C$32, 37.312, 37.3109) * CHOOSE(CONTROL!$C$15, $D$11, 100%, $F$11)</f>
        <v>37.311999999999998</v>
      </c>
      <c r="G977" s="8">
        <f>CHOOSE( CONTROL!$C$32, 36.2196, 36.2186) * CHOOSE( CONTROL!$C$15, $D$11, 100%, $F$11)</f>
        <v>36.2196</v>
      </c>
      <c r="H977" s="4">
        <f>CHOOSE( CONTROL!$C$32, 37.1217, 37.1206) * CHOOSE(CONTROL!$C$15, $D$11, 100%, $F$11)</f>
        <v>37.121699999999997</v>
      </c>
      <c r="I977" s="8">
        <f>CHOOSE( CONTROL!$C$32, 35.722, 35.7209) * CHOOSE(CONTROL!$C$15, $D$11, 100%, $F$11)</f>
        <v>35.722000000000001</v>
      </c>
      <c r="J977" s="4">
        <f>CHOOSE( CONTROL!$C$32, 35.5569, 35.5558) * CHOOSE(CONTROL!$C$15, $D$11, 100%, $F$11)</f>
        <v>35.556899999999999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70918</v>
      </c>
      <c r="B978" s="8">
        <f>CHOOSE( CONTROL!$C$32, 34.2782, 34.2771) * CHOOSE(CONTROL!$C$15, $D$11, 100%, $F$11)</f>
        <v>34.278199999999998</v>
      </c>
      <c r="C978" s="8">
        <f>CHOOSE( CONTROL!$C$32, 34.2833, 34.2822) * CHOOSE(CONTROL!$C$15, $D$11, 100%, $F$11)</f>
        <v>34.283299999999997</v>
      </c>
      <c r="D978" s="8">
        <f>CHOOSE( CONTROL!$C$32, 34.2619, 34.2608) * CHOOSE( CONTROL!$C$15, $D$11, 100%, $F$11)</f>
        <v>34.261899999999997</v>
      </c>
      <c r="E978" s="12">
        <f>CHOOSE( CONTROL!$C$32, 34.2692, 34.2681) * CHOOSE( CONTROL!$C$15, $D$11, 100%, $F$11)</f>
        <v>34.269199999999998</v>
      </c>
      <c r="F978" s="4">
        <f>CHOOSE( CONTROL!$C$32, 34.9435, 34.9424) * CHOOSE(CONTROL!$C$15, $D$11, 100%, $F$11)</f>
        <v>34.9435</v>
      </c>
      <c r="G978" s="8">
        <f>CHOOSE( CONTROL!$C$32, 33.8788, 33.8777) * CHOOSE( CONTROL!$C$15, $D$11, 100%, $F$11)</f>
        <v>33.878799999999998</v>
      </c>
      <c r="H978" s="4">
        <f>CHOOSE( CONTROL!$C$32, 34.7809, 34.7798) * CHOOSE(CONTROL!$C$15, $D$11, 100%, $F$11)</f>
        <v>34.780900000000003</v>
      </c>
      <c r="I978" s="8">
        <f>CHOOSE( CONTROL!$C$32, 33.4218, 33.4207) * CHOOSE(CONTROL!$C$15, $D$11, 100%, $F$11)</f>
        <v>33.421799999999998</v>
      </c>
      <c r="J978" s="4">
        <f>CHOOSE( CONTROL!$C$32, 33.2582, 33.2572) * CHOOSE(CONTROL!$C$15, $D$11, 100%, $F$11)</f>
        <v>33.258200000000002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70949</v>
      </c>
      <c r="B979" s="8">
        <f>CHOOSE( CONTROL!$C$32, 33.5487, 33.5476) * CHOOSE(CONTROL!$C$15, $D$11, 100%, $F$11)</f>
        <v>33.548699999999997</v>
      </c>
      <c r="C979" s="8">
        <f>CHOOSE( CONTROL!$C$32, 33.5538, 33.5527) * CHOOSE(CONTROL!$C$15, $D$11, 100%, $F$11)</f>
        <v>33.553800000000003</v>
      </c>
      <c r="D979" s="8">
        <f>CHOOSE( CONTROL!$C$32, 33.5317, 33.5306) * CHOOSE( CONTROL!$C$15, $D$11, 100%, $F$11)</f>
        <v>33.531700000000001</v>
      </c>
      <c r="E979" s="12">
        <f>CHOOSE( CONTROL!$C$32, 33.5392, 33.5381) * CHOOSE( CONTROL!$C$15, $D$11, 100%, $F$11)</f>
        <v>33.539200000000001</v>
      </c>
      <c r="F979" s="4">
        <f>CHOOSE( CONTROL!$C$32, 34.214, 34.2129) * CHOOSE(CONTROL!$C$15, $D$11, 100%, $F$11)</f>
        <v>34.213999999999999</v>
      </c>
      <c r="G979" s="8">
        <f>CHOOSE( CONTROL!$C$32, 33.1574, 33.1563) * CHOOSE( CONTROL!$C$15, $D$11, 100%, $F$11)</f>
        <v>33.157400000000003</v>
      </c>
      <c r="H979" s="4">
        <f>CHOOSE( CONTROL!$C$32, 34.06, 34.0589) * CHOOSE(CONTROL!$C$15, $D$11, 100%, $F$11)</f>
        <v>34.06</v>
      </c>
      <c r="I979" s="8">
        <f>CHOOSE( CONTROL!$C$32, 32.7115, 32.7104) * CHOOSE(CONTROL!$C$15, $D$11, 100%, $F$11)</f>
        <v>32.711500000000001</v>
      </c>
      <c r="J979" s="4">
        <f>CHOOSE( CONTROL!$C$32, 32.5503, 32.5492) * CHOOSE(CONTROL!$C$15, $D$11, 100%, $F$11)</f>
        <v>32.5503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70979</v>
      </c>
      <c r="B980" s="8">
        <f>CHOOSE( CONTROL!$C$32, 34.0592, 34.0581) * CHOOSE(CONTROL!$C$15, $D$11, 100%, $F$11)</f>
        <v>34.059199999999997</v>
      </c>
      <c r="C980" s="8">
        <f>CHOOSE( CONTROL!$C$32, 34.0637, 34.0626) * CHOOSE(CONTROL!$C$15, $D$11, 100%, $F$11)</f>
        <v>34.063699999999997</v>
      </c>
      <c r="D980" s="8">
        <f>CHOOSE( CONTROL!$C$32, 34.0666, 34.0655) * CHOOSE( CONTROL!$C$15, $D$11, 100%, $F$11)</f>
        <v>34.066600000000001</v>
      </c>
      <c r="E980" s="12">
        <f>CHOOSE( CONTROL!$C$32, 34.0651, 34.064) * CHOOSE( CONTROL!$C$15, $D$11, 100%, $F$11)</f>
        <v>34.065100000000001</v>
      </c>
      <c r="F980" s="4">
        <f>CHOOSE( CONTROL!$C$32, 34.7675, 34.7664) * CHOOSE(CONTROL!$C$15, $D$11, 100%, $F$11)</f>
        <v>34.767499999999998</v>
      </c>
      <c r="G980" s="8">
        <f>CHOOSE( CONTROL!$C$32, 33.6716, 33.6706) * CHOOSE( CONTROL!$C$15, $D$11, 100%, $F$11)</f>
        <v>33.671599999999998</v>
      </c>
      <c r="H980" s="4">
        <f>CHOOSE( CONTROL!$C$32, 34.607, 34.6059) * CHOOSE(CONTROL!$C$15, $D$11, 100%, $F$11)</f>
        <v>34.606999999999999</v>
      </c>
      <c r="I980" s="8">
        <f>CHOOSE( CONTROL!$C$32, 33.1787, 33.1777) * CHOOSE(CONTROL!$C$15, $D$11, 100%, $F$11)</f>
        <v>33.178699999999999</v>
      </c>
      <c r="J980" s="4">
        <f>CHOOSE( CONTROL!$C$32, 33.045, 33.0439) * CHOOSE(CONTROL!$C$15, $D$11, 100%, $F$11)</f>
        <v>33.045000000000002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1.2509999999999999</v>
      </c>
      <c r="Q980" s="9">
        <v>19.053000000000001</v>
      </c>
      <c r="R980" s="9"/>
      <c r="S980" s="11"/>
    </row>
    <row r="981" spans="1:19" ht="15.75">
      <c r="A981" s="13">
        <v>71010</v>
      </c>
      <c r="B981" s="8">
        <f>CHOOSE( CONTROL!$C$32, 34.9684, 34.9667) * CHOOSE(CONTROL!$C$15, $D$11, 100%, $F$11)</f>
        <v>34.968400000000003</v>
      </c>
      <c r="C981" s="8">
        <f>CHOOSE( CONTROL!$C$32, 34.9764, 34.9747) * CHOOSE(CONTROL!$C$15, $D$11, 100%, $F$11)</f>
        <v>34.976399999999998</v>
      </c>
      <c r="D981" s="8">
        <f>CHOOSE( CONTROL!$C$32, 34.9731, 34.9715) * CHOOSE( CONTROL!$C$15, $D$11, 100%, $F$11)</f>
        <v>34.973100000000002</v>
      </c>
      <c r="E981" s="12">
        <f>CHOOSE( CONTROL!$C$32, 34.9731, 34.9714) * CHOOSE( CONTROL!$C$15, $D$11, 100%, $F$11)</f>
        <v>34.973100000000002</v>
      </c>
      <c r="F981" s="4">
        <f>CHOOSE( CONTROL!$C$32, 35.6753, 35.6737) * CHOOSE(CONTROL!$C$15, $D$11, 100%, $F$11)</f>
        <v>35.6753</v>
      </c>
      <c r="G981" s="8">
        <f>CHOOSE( CONTROL!$C$32, 34.5687, 34.5671) * CHOOSE( CONTROL!$C$15, $D$11, 100%, $F$11)</f>
        <v>34.5687</v>
      </c>
      <c r="H981" s="4">
        <f>CHOOSE( CONTROL!$C$32, 35.5042, 35.5026) * CHOOSE(CONTROL!$C$15, $D$11, 100%, $F$11)</f>
        <v>35.504199999999997</v>
      </c>
      <c r="I981" s="8">
        <f>CHOOSE( CONTROL!$C$32, 34.0595, 34.0578) * CHOOSE(CONTROL!$C$15, $D$11, 100%, $F$11)</f>
        <v>34.0595</v>
      </c>
      <c r="J981" s="4">
        <f>CHOOSE( CONTROL!$C$32, 33.926, 33.9244) * CHOOSE(CONTROL!$C$15, $D$11, 100%, $F$11)</f>
        <v>33.926000000000002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1.2927</v>
      </c>
      <c r="Q981" s="9">
        <v>19.688099999999999</v>
      </c>
      <c r="R981" s="9"/>
      <c r="S981" s="11"/>
    </row>
    <row r="982" spans="1:19" ht="15.75">
      <c r="A982" s="13">
        <v>71040</v>
      </c>
      <c r="B982" s="8">
        <f>CHOOSE( CONTROL!$C$32, 34.4064, 34.4047) * CHOOSE(CONTROL!$C$15, $D$11, 100%, $F$11)</f>
        <v>34.406399999999998</v>
      </c>
      <c r="C982" s="8">
        <f>CHOOSE( CONTROL!$C$32, 34.4144, 34.4127) * CHOOSE(CONTROL!$C$15, $D$11, 100%, $F$11)</f>
        <v>34.414400000000001</v>
      </c>
      <c r="D982" s="8">
        <f>CHOOSE( CONTROL!$C$32, 34.4113, 34.4097) * CHOOSE( CONTROL!$C$15, $D$11, 100%, $F$11)</f>
        <v>34.411299999999997</v>
      </c>
      <c r="E982" s="12">
        <f>CHOOSE( CONTROL!$C$32, 34.4112, 34.4096) * CHOOSE( CONTROL!$C$15, $D$11, 100%, $F$11)</f>
        <v>34.411200000000001</v>
      </c>
      <c r="F982" s="4">
        <f>CHOOSE( CONTROL!$C$32, 35.1133, 35.1117) * CHOOSE(CONTROL!$C$15, $D$11, 100%, $F$11)</f>
        <v>35.113300000000002</v>
      </c>
      <c r="G982" s="8">
        <f>CHOOSE( CONTROL!$C$32, 34.0135, 34.0118) * CHOOSE( CONTROL!$C$15, $D$11, 100%, $F$11)</f>
        <v>34.013500000000001</v>
      </c>
      <c r="H982" s="4">
        <f>CHOOSE( CONTROL!$C$32, 34.9488, 34.9471) * CHOOSE(CONTROL!$C$15, $D$11, 100%, $F$11)</f>
        <v>34.948799999999999</v>
      </c>
      <c r="I982" s="8">
        <f>CHOOSE( CONTROL!$C$32, 33.5145, 33.5129) * CHOOSE(CONTROL!$C$15, $D$11, 100%, $F$11)</f>
        <v>33.514499999999998</v>
      </c>
      <c r="J982" s="4">
        <f>CHOOSE( CONTROL!$C$32, 33.3806, 33.379) * CHOOSE(CONTROL!$C$15, $D$11, 100%, $F$11)</f>
        <v>33.380600000000001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1.2509999999999999</v>
      </c>
      <c r="Q982" s="9">
        <v>19.053000000000001</v>
      </c>
      <c r="R982" s="9"/>
      <c r="S982" s="11"/>
    </row>
    <row r="983" spans="1:19" ht="15.75">
      <c r="A983" s="13">
        <v>71071</v>
      </c>
      <c r="B983" s="8">
        <f>CHOOSE( CONTROL!$C$32, 35.8864, 35.8847) * CHOOSE(CONTROL!$C$15, $D$11, 100%, $F$11)</f>
        <v>35.886400000000002</v>
      </c>
      <c r="C983" s="8">
        <f>CHOOSE( CONTROL!$C$32, 35.8943, 35.8927) * CHOOSE(CONTROL!$C$15, $D$11, 100%, $F$11)</f>
        <v>35.894300000000001</v>
      </c>
      <c r="D983" s="8">
        <f>CHOOSE( CONTROL!$C$32, 35.8915, 35.8899) * CHOOSE( CONTROL!$C$15, $D$11, 100%, $F$11)</f>
        <v>35.891500000000001</v>
      </c>
      <c r="E983" s="12">
        <f>CHOOSE( CONTROL!$C$32, 35.8913, 35.8897) * CHOOSE( CONTROL!$C$15, $D$11, 100%, $F$11)</f>
        <v>35.891300000000001</v>
      </c>
      <c r="F983" s="4">
        <f>CHOOSE( CONTROL!$C$32, 36.5933, 36.5916) * CHOOSE(CONTROL!$C$15, $D$11, 100%, $F$11)</f>
        <v>36.593299999999999</v>
      </c>
      <c r="G983" s="8">
        <f>CHOOSE( CONTROL!$C$32, 35.4763, 35.4746) * CHOOSE( CONTROL!$C$15, $D$11, 100%, $F$11)</f>
        <v>35.476300000000002</v>
      </c>
      <c r="H983" s="4">
        <f>CHOOSE( CONTROL!$C$32, 36.4114, 36.4098) * CHOOSE(CONTROL!$C$15, $D$11, 100%, $F$11)</f>
        <v>36.4114</v>
      </c>
      <c r="I983" s="8">
        <f>CHOOSE( CONTROL!$C$32, 34.9524, 34.9508) * CHOOSE(CONTROL!$C$15, $D$11, 100%, $F$11)</f>
        <v>34.952399999999997</v>
      </c>
      <c r="J983" s="4">
        <f>CHOOSE( CONTROL!$C$32, 34.8169, 34.8153) * CHOOSE(CONTROL!$C$15, $D$11, 100%, $F$11)</f>
        <v>34.816899999999997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1.2927</v>
      </c>
      <c r="Q983" s="9">
        <v>19.688099999999999</v>
      </c>
      <c r="R983" s="9"/>
      <c r="S983" s="11"/>
    </row>
    <row r="984" spans="1:19" ht="15.75">
      <c r="A984" s="13">
        <v>71102</v>
      </c>
      <c r="B984" s="8">
        <f>CHOOSE( CONTROL!$C$32, 33.1172, 33.1155) * CHOOSE(CONTROL!$C$15, $D$11, 100%, $F$11)</f>
        <v>33.117199999999997</v>
      </c>
      <c r="C984" s="8">
        <f>CHOOSE( CONTROL!$C$32, 33.1252, 33.1235) * CHOOSE(CONTROL!$C$15, $D$11, 100%, $F$11)</f>
        <v>33.1252</v>
      </c>
      <c r="D984" s="8">
        <f>CHOOSE( CONTROL!$C$32, 33.1225, 33.1208) * CHOOSE( CONTROL!$C$15, $D$11, 100%, $F$11)</f>
        <v>33.122500000000002</v>
      </c>
      <c r="E984" s="12">
        <f>CHOOSE( CONTROL!$C$32, 33.1223, 33.1206) * CHOOSE( CONTROL!$C$15, $D$11, 100%, $F$11)</f>
        <v>33.122300000000003</v>
      </c>
      <c r="F984" s="4">
        <f>CHOOSE( CONTROL!$C$32, 33.8241, 33.8225) * CHOOSE(CONTROL!$C$15, $D$11, 100%, $F$11)</f>
        <v>33.824100000000001</v>
      </c>
      <c r="G984" s="8">
        <f>CHOOSE( CONTROL!$C$32, 32.7396, 32.738) * CHOOSE( CONTROL!$C$15, $D$11, 100%, $F$11)</f>
        <v>32.739600000000003</v>
      </c>
      <c r="H984" s="4">
        <f>CHOOSE( CONTROL!$C$32, 33.6747, 33.673) * CHOOSE(CONTROL!$C$15, $D$11, 100%, $F$11)</f>
        <v>33.674700000000001</v>
      </c>
      <c r="I984" s="8">
        <f>CHOOSE( CONTROL!$C$32, 32.2639, 32.2623) * CHOOSE(CONTROL!$C$15, $D$11, 100%, $F$11)</f>
        <v>32.2639</v>
      </c>
      <c r="J984" s="4">
        <f>CHOOSE( CONTROL!$C$32, 32.1294, 32.1278) * CHOOSE(CONTROL!$C$15, $D$11, 100%, $F$11)</f>
        <v>32.129399999999997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1.2927</v>
      </c>
      <c r="Q984" s="9">
        <v>19.688099999999999</v>
      </c>
      <c r="R984" s="9"/>
      <c r="S984" s="11"/>
    </row>
    <row r="985" spans="1:19" ht="15.75">
      <c r="A985" s="13">
        <v>71132</v>
      </c>
      <c r="B985" s="8">
        <f>CHOOSE( CONTROL!$C$32, 32.4238, 32.4221) * CHOOSE(CONTROL!$C$15, $D$11, 100%, $F$11)</f>
        <v>32.4238</v>
      </c>
      <c r="C985" s="8">
        <f>CHOOSE( CONTROL!$C$32, 32.4317, 32.4301) * CHOOSE(CONTROL!$C$15, $D$11, 100%, $F$11)</f>
        <v>32.431699999999999</v>
      </c>
      <c r="D985" s="8">
        <f>CHOOSE( CONTROL!$C$32, 32.429, 32.4273) * CHOOSE( CONTROL!$C$15, $D$11, 100%, $F$11)</f>
        <v>32.429000000000002</v>
      </c>
      <c r="E985" s="12">
        <f>CHOOSE( CONTROL!$C$32, 32.4288, 32.4271) * CHOOSE( CONTROL!$C$15, $D$11, 100%, $F$11)</f>
        <v>32.428800000000003</v>
      </c>
      <c r="F985" s="4">
        <f>CHOOSE( CONTROL!$C$32, 33.1307, 33.129) * CHOOSE(CONTROL!$C$15, $D$11, 100%, $F$11)</f>
        <v>33.130699999999997</v>
      </c>
      <c r="G985" s="8">
        <f>CHOOSE( CONTROL!$C$32, 32.0543, 32.0526) * CHOOSE( CONTROL!$C$15, $D$11, 100%, $F$11)</f>
        <v>32.054299999999998</v>
      </c>
      <c r="H985" s="4">
        <f>CHOOSE( CONTROL!$C$32, 32.9893, 32.9877) * CHOOSE(CONTROL!$C$15, $D$11, 100%, $F$11)</f>
        <v>32.9893</v>
      </c>
      <c r="I985" s="8">
        <f>CHOOSE( CONTROL!$C$32, 31.5904, 31.5888) * CHOOSE(CONTROL!$C$15, $D$11, 100%, $F$11)</f>
        <v>31.590399999999999</v>
      </c>
      <c r="J985" s="4">
        <f>CHOOSE( CONTROL!$C$32, 31.4564, 31.4548) * CHOOSE(CONTROL!$C$15, $D$11, 100%, $F$11)</f>
        <v>31.456399999999999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1.2509999999999999</v>
      </c>
      <c r="Q985" s="9">
        <v>19.053000000000001</v>
      </c>
      <c r="R985" s="9"/>
      <c r="S985" s="11"/>
    </row>
    <row r="986" spans="1:19" ht="15.75">
      <c r="A986" s="13">
        <v>71163</v>
      </c>
      <c r="B986" s="8">
        <f>CHOOSE( CONTROL!$C$32, 33.8613, 33.8602) * CHOOSE(CONTROL!$C$15, $D$11, 100%, $F$11)</f>
        <v>33.8613</v>
      </c>
      <c r="C986" s="8">
        <f>CHOOSE( CONTROL!$C$32, 33.8666, 33.8655) * CHOOSE(CONTROL!$C$15, $D$11, 100%, $F$11)</f>
        <v>33.866599999999998</v>
      </c>
      <c r="D986" s="8">
        <f>CHOOSE( CONTROL!$C$32, 33.8695, 33.8684) * CHOOSE( CONTROL!$C$15, $D$11, 100%, $F$11)</f>
        <v>33.869500000000002</v>
      </c>
      <c r="E986" s="12">
        <f>CHOOSE( CONTROL!$C$32, 33.868, 33.8669) * CHOOSE( CONTROL!$C$15, $D$11, 100%, $F$11)</f>
        <v>33.868000000000002</v>
      </c>
      <c r="F986" s="4">
        <f>CHOOSE( CONTROL!$C$32, 34.5699, 34.5688) * CHOOSE(CONTROL!$C$15, $D$11, 100%, $F$11)</f>
        <v>34.569899999999997</v>
      </c>
      <c r="G986" s="8">
        <f>CHOOSE( CONTROL!$C$32, 33.4768, 33.4757) * CHOOSE( CONTROL!$C$15, $D$11, 100%, $F$11)</f>
        <v>33.476799999999997</v>
      </c>
      <c r="H986" s="4">
        <f>CHOOSE( CONTROL!$C$32, 34.4117, 34.4107) * CHOOSE(CONTROL!$C$15, $D$11, 100%, $F$11)</f>
        <v>34.411700000000003</v>
      </c>
      <c r="I986" s="8">
        <f>CHOOSE( CONTROL!$C$32, 32.9887, 32.9877) * CHOOSE(CONTROL!$C$15, $D$11, 100%, $F$11)</f>
        <v>32.988700000000001</v>
      </c>
      <c r="J986" s="4">
        <f>CHOOSE( CONTROL!$C$32, 32.8532, 32.8522) * CHOOSE(CONTROL!$C$15, $D$11, 100%, $F$11)</f>
        <v>32.853200000000001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1.2927</v>
      </c>
      <c r="Q986" s="9">
        <v>19.688099999999999</v>
      </c>
      <c r="R986" s="9"/>
      <c r="S986" s="11"/>
    </row>
    <row r="987" spans="1:19" ht="15.75">
      <c r="A987" s="13">
        <v>71193</v>
      </c>
      <c r="B987" s="8">
        <f>CHOOSE( CONTROL!$C$32, 36.5184, 36.5174) * CHOOSE(CONTROL!$C$15, $D$11, 100%, $F$11)</f>
        <v>36.5184</v>
      </c>
      <c r="C987" s="8">
        <f>CHOOSE( CONTROL!$C$32, 36.5235, 36.5224) * CHOOSE(CONTROL!$C$15, $D$11, 100%, $F$11)</f>
        <v>36.523499999999999</v>
      </c>
      <c r="D987" s="8">
        <f>CHOOSE( CONTROL!$C$32, 36.5057, 36.5046) * CHOOSE( CONTROL!$C$15, $D$11, 100%, $F$11)</f>
        <v>36.505699999999997</v>
      </c>
      <c r="E987" s="12">
        <f>CHOOSE( CONTROL!$C$32, 36.5117, 36.5106) * CHOOSE( CONTROL!$C$15, $D$11, 100%, $F$11)</f>
        <v>36.511699999999998</v>
      </c>
      <c r="F987" s="4">
        <f>CHOOSE( CONTROL!$C$32, 37.1837, 37.1826) * CHOOSE(CONTROL!$C$15, $D$11, 100%, $F$11)</f>
        <v>37.183700000000002</v>
      </c>
      <c r="G987" s="8">
        <f>CHOOSE( CONTROL!$C$32, 36.1024, 36.1013) * CHOOSE( CONTROL!$C$15, $D$11, 100%, $F$11)</f>
        <v>36.102400000000003</v>
      </c>
      <c r="H987" s="4">
        <f>CHOOSE( CONTROL!$C$32, 36.9949, 36.9939) * CHOOSE(CONTROL!$C$15, $D$11, 100%, $F$11)</f>
        <v>36.994900000000001</v>
      </c>
      <c r="I987" s="8">
        <f>CHOOSE( CONTROL!$C$32, 35.6309, 35.6299) * CHOOSE(CONTROL!$C$15, $D$11, 100%, $F$11)</f>
        <v>35.630899999999997</v>
      </c>
      <c r="J987" s="4">
        <f>CHOOSE( CONTROL!$C$32, 35.4324, 35.4314) * CHOOSE(CONTROL!$C$15, $D$11, 100%, $F$11)</f>
        <v>35.432400000000001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71224</v>
      </c>
      <c r="B988" s="8">
        <f>CHOOSE( CONTROL!$C$32, 36.452, 36.451) * CHOOSE(CONTROL!$C$15, $D$11, 100%, $F$11)</f>
        <v>36.451999999999998</v>
      </c>
      <c r="C988" s="8">
        <f>CHOOSE( CONTROL!$C$32, 36.4571, 36.456) * CHOOSE(CONTROL!$C$15, $D$11, 100%, $F$11)</f>
        <v>36.457099999999997</v>
      </c>
      <c r="D988" s="8">
        <f>CHOOSE( CONTROL!$C$32, 36.4407, 36.4397) * CHOOSE( CONTROL!$C$15, $D$11, 100%, $F$11)</f>
        <v>36.4407</v>
      </c>
      <c r="E988" s="12">
        <f>CHOOSE( CONTROL!$C$32, 36.4462, 36.4451) * CHOOSE( CONTROL!$C$15, $D$11, 100%, $F$11)</f>
        <v>36.446199999999997</v>
      </c>
      <c r="F988" s="4">
        <f>CHOOSE( CONTROL!$C$32, 37.1173, 37.1162) * CHOOSE(CONTROL!$C$15, $D$11, 100%, $F$11)</f>
        <v>37.1173</v>
      </c>
      <c r="G988" s="8">
        <f>CHOOSE( CONTROL!$C$32, 36.0378, 36.0367) * CHOOSE( CONTROL!$C$15, $D$11, 100%, $F$11)</f>
        <v>36.037799999999997</v>
      </c>
      <c r="H988" s="4">
        <f>CHOOSE( CONTROL!$C$32, 36.9293, 36.9282) * CHOOSE(CONTROL!$C$15, $D$11, 100%, $F$11)</f>
        <v>36.929299999999998</v>
      </c>
      <c r="I988" s="8">
        <f>CHOOSE( CONTROL!$C$32, 35.5709, 35.5699) * CHOOSE(CONTROL!$C$15, $D$11, 100%, $F$11)</f>
        <v>35.570900000000002</v>
      </c>
      <c r="J988" s="4">
        <f>CHOOSE( CONTROL!$C$32, 35.368, 35.3669) * CHOOSE(CONTROL!$C$15, $D$11, 100%, $F$11)</f>
        <v>35.368000000000002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71255</v>
      </c>
      <c r="B989" s="8">
        <f>CHOOSE( CONTROL!$C$32, 37.527, 37.5259) * CHOOSE(CONTROL!$C$15, $D$11, 100%, $F$11)</f>
        <v>37.527000000000001</v>
      </c>
      <c r="C989" s="8">
        <f>CHOOSE( CONTROL!$C$32, 37.532, 37.531) * CHOOSE(CONTROL!$C$15, $D$11, 100%, $F$11)</f>
        <v>37.531999999999996</v>
      </c>
      <c r="D989" s="8">
        <f>CHOOSE( CONTROL!$C$32, 37.5108, 37.5097) * CHOOSE( CONTROL!$C$15, $D$11, 100%, $F$11)</f>
        <v>37.510800000000003</v>
      </c>
      <c r="E989" s="12">
        <f>CHOOSE( CONTROL!$C$32, 37.518, 37.5169) * CHOOSE( CONTROL!$C$15, $D$11, 100%, $F$11)</f>
        <v>37.518000000000001</v>
      </c>
      <c r="F989" s="4">
        <f>CHOOSE( CONTROL!$C$32, 38.1923, 38.1912) * CHOOSE(CONTROL!$C$15, $D$11, 100%, $F$11)</f>
        <v>38.192300000000003</v>
      </c>
      <c r="G989" s="8">
        <f>CHOOSE( CONTROL!$C$32, 37.0896, 37.0885) * CHOOSE( CONTROL!$C$15, $D$11, 100%, $F$11)</f>
        <v>37.089599999999997</v>
      </c>
      <c r="H989" s="4">
        <f>CHOOSE( CONTROL!$C$32, 37.9916, 37.9906) * CHOOSE(CONTROL!$C$15, $D$11, 100%, $F$11)</f>
        <v>37.991599999999998</v>
      </c>
      <c r="I989" s="8">
        <f>CHOOSE( CONTROL!$C$32, 36.5767, 36.5757) * CHOOSE(CONTROL!$C$15, $D$11, 100%, $F$11)</f>
        <v>36.576700000000002</v>
      </c>
      <c r="J989" s="4">
        <f>CHOOSE( CONTROL!$C$32, 36.4112, 36.4101) * CHOOSE(CONTROL!$C$15, $D$11, 100%, $F$11)</f>
        <v>36.411200000000001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71283</v>
      </c>
      <c r="B990" s="8">
        <f>CHOOSE( CONTROL!$C$32, 35.1016, 35.1005) * CHOOSE(CONTROL!$C$15, $D$11, 100%, $F$11)</f>
        <v>35.101599999999998</v>
      </c>
      <c r="C990" s="8">
        <f>CHOOSE( CONTROL!$C$32, 35.1066, 35.1056) * CHOOSE(CONTROL!$C$15, $D$11, 100%, $F$11)</f>
        <v>35.1066</v>
      </c>
      <c r="D990" s="8">
        <f>CHOOSE( CONTROL!$C$32, 35.0852, 35.0841) * CHOOSE( CONTROL!$C$15, $D$11, 100%, $F$11)</f>
        <v>35.0852</v>
      </c>
      <c r="E990" s="12">
        <f>CHOOSE( CONTROL!$C$32, 35.0925, 35.0914) * CHOOSE( CONTROL!$C$15, $D$11, 100%, $F$11)</f>
        <v>35.092500000000001</v>
      </c>
      <c r="F990" s="4">
        <f>CHOOSE( CONTROL!$C$32, 35.7668, 35.7658) * CHOOSE(CONTROL!$C$15, $D$11, 100%, $F$11)</f>
        <v>35.766800000000003</v>
      </c>
      <c r="G990" s="8">
        <f>CHOOSE( CONTROL!$C$32, 34.6925, 34.6915) * CHOOSE( CONTROL!$C$15, $D$11, 100%, $F$11)</f>
        <v>34.692500000000003</v>
      </c>
      <c r="H990" s="4">
        <f>CHOOSE( CONTROL!$C$32, 35.5946, 35.5936) * CHOOSE(CONTROL!$C$15, $D$11, 100%, $F$11)</f>
        <v>35.5946</v>
      </c>
      <c r="I990" s="8">
        <f>CHOOSE( CONTROL!$C$32, 34.2213, 34.2202) * CHOOSE(CONTROL!$C$15, $D$11, 100%, $F$11)</f>
        <v>34.221299999999999</v>
      </c>
      <c r="J990" s="4">
        <f>CHOOSE( CONTROL!$C$32, 34.0573, 34.0563) * CHOOSE(CONTROL!$C$15, $D$11, 100%, $F$11)</f>
        <v>34.057299999999998</v>
      </c>
      <c r="K990" s="4"/>
      <c r="L990" s="9">
        <v>26.469899999999999</v>
      </c>
      <c r="M990" s="9">
        <v>10.8962</v>
      </c>
      <c r="N990" s="9">
        <v>4.4660000000000002</v>
      </c>
      <c r="O990" s="9">
        <v>0.33789999999999998</v>
      </c>
      <c r="P990" s="9">
        <v>1.1676</v>
      </c>
      <c r="Q990" s="9">
        <v>17.782800000000002</v>
      </c>
      <c r="R990" s="9"/>
      <c r="S990" s="11"/>
    </row>
    <row r="991" spans="1:19" ht="15.75">
      <c r="A991" s="13">
        <v>71314</v>
      </c>
      <c r="B991" s="8">
        <f>CHOOSE( CONTROL!$C$32, 34.3546, 34.3535) * CHOOSE(CONTROL!$C$15, $D$11, 100%, $F$11)</f>
        <v>34.354599999999998</v>
      </c>
      <c r="C991" s="8">
        <f>CHOOSE( CONTROL!$C$32, 34.3596, 34.3585) * CHOOSE(CONTROL!$C$15, $D$11, 100%, $F$11)</f>
        <v>34.3596</v>
      </c>
      <c r="D991" s="8">
        <f>CHOOSE( CONTROL!$C$32, 34.3376, 34.3365) * CHOOSE( CONTROL!$C$15, $D$11, 100%, $F$11)</f>
        <v>34.337600000000002</v>
      </c>
      <c r="E991" s="12">
        <f>CHOOSE( CONTROL!$C$32, 34.3451, 34.344) * CHOOSE( CONTROL!$C$15, $D$11, 100%, $F$11)</f>
        <v>34.345100000000002</v>
      </c>
      <c r="F991" s="4">
        <f>CHOOSE( CONTROL!$C$32, 35.0198, 35.0187) * CHOOSE(CONTROL!$C$15, $D$11, 100%, $F$11)</f>
        <v>35.019799999999996</v>
      </c>
      <c r="G991" s="8">
        <f>CHOOSE( CONTROL!$C$32, 33.9538, 33.9527) * CHOOSE( CONTROL!$C$15, $D$11, 100%, $F$11)</f>
        <v>33.953800000000001</v>
      </c>
      <c r="H991" s="4">
        <f>CHOOSE( CONTROL!$C$32, 34.8564, 34.8553) * CHOOSE(CONTROL!$C$15, $D$11, 100%, $F$11)</f>
        <v>34.856400000000001</v>
      </c>
      <c r="I991" s="8">
        <f>CHOOSE( CONTROL!$C$32, 33.494, 33.4929) * CHOOSE(CONTROL!$C$15, $D$11, 100%, $F$11)</f>
        <v>33.494</v>
      </c>
      <c r="J991" s="4">
        <f>CHOOSE( CONTROL!$C$32, 33.3323, 33.3313) * CHOOSE(CONTROL!$C$15, $D$11, 100%, $F$11)</f>
        <v>33.332299999999996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71344</v>
      </c>
      <c r="B992" s="8">
        <f>CHOOSE( CONTROL!$C$32, 34.8773, 34.8762) * CHOOSE(CONTROL!$C$15, $D$11, 100%, $F$11)</f>
        <v>34.877299999999998</v>
      </c>
      <c r="C992" s="8">
        <f>CHOOSE( CONTROL!$C$32, 34.8818, 34.8807) * CHOOSE(CONTROL!$C$15, $D$11, 100%, $F$11)</f>
        <v>34.881799999999998</v>
      </c>
      <c r="D992" s="8">
        <f>CHOOSE( CONTROL!$C$32, 34.8847, 34.8836) * CHOOSE( CONTROL!$C$15, $D$11, 100%, $F$11)</f>
        <v>34.884700000000002</v>
      </c>
      <c r="E992" s="12">
        <f>CHOOSE( CONTROL!$C$32, 34.8832, 34.8821) * CHOOSE( CONTROL!$C$15, $D$11, 100%, $F$11)</f>
        <v>34.883200000000002</v>
      </c>
      <c r="F992" s="4">
        <f>CHOOSE( CONTROL!$C$32, 35.5856, 35.5845) * CHOOSE(CONTROL!$C$15, $D$11, 100%, $F$11)</f>
        <v>35.585599999999999</v>
      </c>
      <c r="G992" s="8">
        <f>CHOOSE( CONTROL!$C$32, 34.4802, 34.4791) * CHOOSE( CONTROL!$C$15, $D$11, 100%, $F$11)</f>
        <v>34.480200000000004</v>
      </c>
      <c r="H992" s="4">
        <f>CHOOSE( CONTROL!$C$32, 35.4155, 35.4145) * CHOOSE(CONTROL!$C$15, $D$11, 100%, $F$11)</f>
        <v>35.415500000000002</v>
      </c>
      <c r="I992" s="8">
        <f>CHOOSE( CONTROL!$C$32, 33.9731, 33.972) * CHOOSE(CONTROL!$C$15, $D$11, 100%, $F$11)</f>
        <v>33.973100000000002</v>
      </c>
      <c r="J992" s="4">
        <f>CHOOSE( CONTROL!$C$32, 33.8389, 33.8379) * CHOOSE(CONTROL!$C$15, $D$11, 100%, $F$11)</f>
        <v>33.838900000000002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1.2509999999999999</v>
      </c>
      <c r="Q992" s="9">
        <v>19.053000000000001</v>
      </c>
      <c r="R992" s="9"/>
      <c r="S992" s="11"/>
    </row>
    <row r="993" spans="1:19" ht="15.75">
      <c r="A993" s="13">
        <v>71375</v>
      </c>
      <c r="B993" s="8">
        <f>CHOOSE( CONTROL!$C$32, 35.8083, 35.8066) * CHOOSE(CONTROL!$C$15, $D$11, 100%, $F$11)</f>
        <v>35.808300000000003</v>
      </c>
      <c r="C993" s="8">
        <f>CHOOSE( CONTROL!$C$32, 35.8163, 35.8146) * CHOOSE(CONTROL!$C$15, $D$11, 100%, $F$11)</f>
        <v>35.816299999999998</v>
      </c>
      <c r="D993" s="8">
        <f>CHOOSE( CONTROL!$C$32, 35.813, 35.8114) * CHOOSE( CONTROL!$C$15, $D$11, 100%, $F$11)</f>
        <v>35.813000000000002</v>
      </c>
      <c r="E993" s="12">
        <f>CHOOSE( CONTROL!$C$32, 35.813, 35.8113) * CHOOSE( CONTROL!$C$15, $D$11, 100%, $F$11)</f>
        <v>35.813000000000002</v>
      </c>
      <c r="F993" s="4">
        <f>CHOOSE( CONTROL!$C$32, 36.5152, 36.5136) * CHOOSE(CONTROL!$C$15, $D$11, 100%, $F$11)</f>
        <v>36.5152</v>
      </c>
      <c r="G993" s="8">
        <f>CHOOSE( CONTROL!$C$32, 35.3988, 35.3971) * CHOOSE( CONTROL!$C$15, $D$11, 100%, $F$11)</f>
        <v>35.398800000000001</v>
      </c>
      <c r="H993" s="4">
        <f>CHOOSE( CONTROL!$C$32, 36.3343, 36.3326) * CHOOSE(CONTROL!$C$15, $D$11, 100%, $F$11)</f>
        <v>36.334299999999999</v>
      </c>
      <c r="I993" s="8">
        <f>CHOOSE( CONTROL!$C$32, 34.875, 34.8734) * CHOOSE(CONTROL!$C$15, $D$11, 100%, $F$11)</f>
        <v>34.875</v>
      </c>
      <c r="J993" s="4">
        <f>CHOOSE( CONTROL!$C$32, 34.7411, 34.7395) * CHOOSE(CONTROL!$C$15, $D$11, 100%, $F$11)</f>
        <v>34.741100000000003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1.2927</v>
      </c>
      <c r="Q993" s="9">
        <v>19.688099999999999</v>
      </c>
      <c r="R993" s="9"/>
      <c r="S993" s="11"/>
    </row>
    <row r="994" spans="1:19" ht="15.75">
      <c r="A994" s="13">
        <v>71405</v>
      </c>
      <c r="B994" s="8">
        <f>CHOOSE( CONTROL!$C$32, 35.2328, 35.2311) * CHOOSE(CONTROL!$C$15, $D$11, 100%, $F$11)</f>
        <v>35.232799999999997</v>
      </c>
      <c r="C994" s="8">
        <f>CHOOSE( CONTROL!$C$32, 35.2408, 35.2391) * CHOOSE(CONTROL!$C$15, $D$11, 100%, $F$11)</f>
        <v>35.2408</v>
      </c>
      <c r="D994" s="8">
        <f>CHOOSE( CONTROL!$C$32, 35.2377, 35.2361) * CHOOSE( CONTROL!$C$15, $D$11, 100%, $F$11)</f>
        <v>35.237699999999997</v>
      </c>
      <c r="E994" s="12">
        <f>CHOOSE( CONTROL!$C$32, 35.2376, 35.236) * CHOOSE( CONTROL!$C$15, $D$11, 100%, $F$11)</f>
        <v>35.2376</v>
      </c>
      <c r="F994" s="4">
        <f>CHOOSE( CONTROL!$C$32, 35.9397, 35.9381) * CHOOSE(CONTROL!$C$15, $D$11, 100%, $F$11)</f>
        <v>35.939700000000002</v>
      </c>
      <c r="G994" s="8">
        <f>CHOOSE( CONTROL!$C$32, 34.8302, 34.8285) * CHOOSE( CONTROL!$C$15, $D$11, 100%, $F$11)</f>
        <v>34.830199999999998</v>
      </c>
      <c r="H994" s="4">
        <f>CHOOSE( CONTROL!$C$32, 35.7655, 35.7638) * CHOOSE(CONTROL!$C$15, $D$11, 100%, $F$11)</f>
        <v>35.765500000000003</v>
      </c>
      <c r="I994" s="8">
        <f>CHOOSE( CONTROL!$C$32, 34.3169, 34.3153) * CHOOSE(CONTROL!$C$15, $D$11, 100%, $F$11)</f>
        <v>34.316899999999997</v>
      </c>
      <c r="J994" s="4">
        <f>CHOOSE( CONTROL!$C$32, 34.1826, 34.181) * CHOOSE(CONTROL!$C$15, $D$11, 100%, $F$11)</f>
        <v>34.182600000000001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1.2509999999999999</v>
      </c>
      <c r="Q994" s="9">
        <v>19.053000000000001</v>
      </c>
      <c r="R994" s="9"/>
      <c r="S994" s="11"/>
    </row>
    <row r="995" spans="1:19" ht="15.75">
      <c r="A995" s="13">
        <v>71436</v>
      </c>
      <c r="B995" s="8">
        <f>CHOOSE( CONTROL!$C$32, 36.7483, 36.7467) * CHOOSE(CONTROL!$C$15, $D$11, 100%, $F$11)</f>
        <v>36.7483</v>
      </c>
      <c r="C995" s="8">
        <f>CHOOSE( CONTROL!$C$32, 36.7563, 36.7546) * CHOOSE(CONTROL!$C$15, $D$11, 100%, $F$11)</f>
        <v>36.756300000000003</v>
      </c>
      <c r="D995" s="8">
        <f>CHOOSE( CONTROL!$C$32, 36.7535, 36.7518) * CHOOSE( CONTROL!$C$15, $D$11, 100%, $F$11)</f>
        <v>36.753500000000003</v>
      </c>
      <c r="E995" s="12">
        <f>CHOOSE( CONTROL!$C$32, 36.7533, 36.7516) * CHOOSE( CONTROL!$C$15, $D$11, 100%, $F$11)</f>
        <v>36.753300000000003</v>
      </c>
      <c r="F995" s="4">
        <f>CHOOSE( CONTROL!$C$32, 37.4553, 37.4536) * CHOOSE(CONTROL!$C$15, $D$11, 100%, $F$11)</f>
        <v>37.455300000000001</v>
      </c>
      <c r="G995" s="8">
        <f>CHOOSE( CONTROL!$C$32, 36.3281, 36.3265) * CHOOSE( CONTROL!$C$15, $D$11, 100%, $F$11)</f>
        <v>36.328099999999999</v>
      </c>
      <c r="H995" s="4">
        <f>CHOOSE( CONTROL!$C$32, 37.2633, 37.2616) * CHOOSE(CONTROL!$C$15, $D$11, 100%, $F$11)</f>
        <v>37.263300000000001</v>
      </c>
      <c r="I995" s="8">
        <f>CHOOSE( CONTROL!$C$32, 35.7893, 35.7877) * CHOOSE(CONTROL!$C$15, $D$11, 100%, $F$11)</f>
        <v>35.789299999999997</v>
      </c>
      <c r="J995" s="4">
        <f>CHOOSE( CONTROL!$C$32, 35.6534, 35.6518) * CHOOSE(CONTROL!$C$15, $D$11, 100%, $F$11)</f>
        <v>35.653399999999998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1.2927</v>
      </c>
      <c r="Q995" s="9">
        <v>19.688099999999999</v>
      </c>
      <c r="R995" s="9"/>
      <c r="S995" s="11"/>
    </row>
    <row r="996" spans="1:19" ht="15.75">
      <c r="A996" s="13">
        <v>71467</v>
      </c>
      <c r="B996" s="8">
        <f>CHOOSE( CONTROL!$C$32, 33.9126, 33.9109) * CHOOSE(CONTROL!$C$15, $D$11, 100%, $F$11)</f>
        <v>33.912599999999998</v>
      </c>
      <c r="C996" s="8">
        <f>CHOOSE( CONTROL!$C$32, 33.9206, 33.9189) * CHOOSE(CONTROL!$C$15, $D$11, 100%, $F$11)</f>
        <v>33.9206</v>
      </c>
      <c r="D996" s="8">
        <f>CHOOSE( CONTROL!$C$32, 33.9179, 33.9162) * CHOOSE( CONTROL!$C$15, $D$11, 100%, $F$11)</f>
        <v>33.917900000000003</v>
      </c>
      <c r="E996" s="12">
        <f>CHOOSE( CONTROL!$C$32, 33.9177, 33.916) * CHOOSE( CONTROL!$C$15, $D$11, 100%, $F$11)</f>
        <v>33.917700000000004</v>
      </c>
      <c r="F996" s="4">
        <f>CHOOSE( CONTROL!$C$32, 34.6195, 34.6179) * CHOOSE(CONTROL!$C$15, $D$11, 100%, $F$11)</f>
        <v>34.619500000000002</v>
      </c>
      <c r="G996" s="8">
        <f>CHOOSE( CONTROL!$C$32, 33.5257, 33.5241) * CHOOSE( CONTROL!$C$15, $D$11, 100%, $F$11)</f>
        <v>33.525700000000001</v>
      </c>
      <c r="H996" s="4">
        <f>CHOOSE( CONTROL!$C$32, 34.4608, 34.4591) * CHOOSE(CONTROL!$C$15, $D$11, 100%, $F$11)</f>
        <v>34.460799999999999</v>
      </c>
      <c r="I996" s="8">
        <f>CHOOSE( CONTROL!$C$32, 33.0362, 33.0346) * CHOOSE(CONTROL!$C$15, $D$11, 100%, $F$11)</f>
        <v>33.036200000000001</v>
      </c>
      <c r="J996" s="4">
        <f>CHOOSE( CONTROL!$C$32, 32.9014, 32.8997) * CHOOSE(CONTROL!$C$15, $D$11, 100%, $F$11)</f>
        <v>32.901400000000002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1.2927</v>
      </c>
      <c r="Q996" s="9">
        <v>19.688099999999999</v>
      </c>
      <c r="R996" s="9"/>
      <c r="S996" s="11"/>
    </row>
    <row r="997" spans="1:19" ht="15.75">
      <c r="A997" s="13">
        <v>71497</v>
      </c>
      <c r="B997" s="8">
        <f>CHOOSE( CONTROL!$C$32, 33.2025, 33.2008) * CHOOSE(CONTROL!$C$15, $D$11, 100%, $F$11)</f>
        <v>33.202500000000001</v>
      </c>
      <c r="C997" s="8">
        <f>CHOOSE( CONTROL!$C$32, 33.2105, 33.2088) * CHOOSE(CONTROL!$C$15, $D$11, 100%, $F$11)</f>
        <v>33.210500000000003</v>
      </c>
      <c r="D997" s="8">
        <f>CHOOSE( CONTROL!$C$32, 33.2077, 33.2061) * CHOOSE( CONTROL!$C$15, $D$11, 100%, $F$11)</f>
        <v>33.207700000000003</v>
      </c>
      <c r="E997" s="12">
        <f>CHOOSE( CONTROL!$C$32, 33.2075, 33.2059) * CHOOSE( CONTROL!$C$15, $D$11, 100%, $F$11)</f>
        <v>33.207500000000003</v>
      </c>
      <c r="F997" s="4">
        <f>CHOOSE( CONTROL!$C$32, 33.9094, 33.9078) * CHOOSE(CONTROL!$C$15, $D$11, 100%, $F$11)</f>
        <v>33.909399999999998</v>
      </c>
      <c r="G997" s="8">
        <f>CHOOSE( CONTROL!$C$32, 32.8239, 32.8223) * CHOOSE( CONTROL!$C$15, $D$11, 100%, $F$11)</f>
        <v>32.823900000000002</v>
      </c>
      <c r="H997" s="4">
        <f>CHOOSE( CONTROL!$C$32, 33.759, 33.7573) * CHOOSE(CONTROL!$C$15, $D$11, 100%, $F$11)</f>
        <v>33.759</v>
      </c>
      <c r="I997" s="8">
        <f>CHOOSE( CONTROL!$C$32, 32.3466, 32.345) * CHOOSE(CONTROL!$C$15, $D$11, 100%, $F$11)</f>
        <v>32.346600000000002</v>
      </c>
      <c r="J997" s="4">
        <f>CHOOSE( CONTROL!$C$32, 32.2122, 32.2106) * CHOOSE(CONTROL!$C$15, $D$11, 100%, $F$11)</f>
        <v>32.212200000000003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1.2509999999999999</v>
      </c>
      <c r="Q997" s="9">
        <v>19.053000000000001</v>
      </c>
      <c r="R997" s="9"/>
      <c r="S997" s="11"/>
    </row>
    <row r="998" spans="1:19" ht="15.75">
      <c r="A998" s="13">
        <v>71528</v>
      </c>
      <c r="B998" s="8">
        <f>CHOOSE( CONTROL!$C$32, 34.6746, 34.6735) * CHOOSE(CONTROL!$C$15, $D$11, 100%, $F$11)</f>
        <v>34.674599999999998</v>
      </c>
      <c r="C998" s="8">
        <f>CHOOSE( CONTROL!$C$32, 34.6799, 34.6789) * CHOOSE(CONTROL!$C$15, $D$11, 100%, $F$11)</f>
        <v>34.679900000000004</v>
      </c>
      <c r="D998" s="8">
        <f>CHOOSE( CONTROL!$C$32, 34.6828, 34.6818) * CHOOSE( CONTROL!$C$15, $D$11, 100%, $F$11)</f>
        <v>34.6828</v>
      </c>
      <c r="E998" s="12">
        <f>CHOOSE( CONTROL!$C$32, 34.6813, 34.6803) * CHOOSE( CONTROL!$C$15, $D$11, 100%, $F$11)</f>
        <v>34.6813</v>
      </c>
      <c r="F998" s="4">
        <f>CHOOSE( CONTROL!$C$32, 35.3833, 35.3822) * CHOOSE(CONTROL!$C$15, $D$11, 100%, $F$11)</f>
        <v>35.383299999999998</v>
      </c>
      <c r="G998" s="8">
        <f>CHOOSE( CONTROL!$C$32, 34.2806, 34.2795) * CHOOSE( CONTROL!$C$15, $D$11, 100%, $F$11)</f>
        <v>34.2806</v>
      </c>
      <c r="H998" s="4">
        <f>CHOOSE( CONTROL!$C$32, 35.2155, 35.2145) * CHOOSE(CONTROL!$C$15, $D$11, 100%, $F$11)</f>
        <v>35.215499999999999</v>
      </c>
      <c r="I998" s="8">
        <f>CHOOSE( CONTROL!$C$32, 33.7785, 33.7774) * CHOOSE(CONTROL!$C$15, $D$11, 100%, $F$11)</f>
        <v>33.778500000000001</v>
      </c>
      <c r="J998" s="4">
        <f>CHOOSE( CONTROL!$C$32, 33.6426, 33.6415) * CHOOSE(CONTROL!$C$15, $D$11, 100%, $F$11)</f>
        <v>33.642600000000002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1.2927</v>
      </c>
      <c r="Q998" s="9">
        <v>19.688099999999999</v>
      </c>
      <c r="R998" s="9"/>
      <c r="S998" s="11"/>
    </row>
    <row r="999" spans="1:19" ht="15.75">
      <c r="A999" s="13">
        <v>71558</v>
      </c>
      <c r="B999" s="8">
        <f>CHOOSE( CONTROL!$C$32, 37.3957, 37.3946) * CHOOSE(CONTROL!$C$15, $D$11, 100%, $F$11)</f>
        <v>37.395699999999998</v>
      </c>
      <c r="C999" s="8">
        <f>CHOOSE( CONTROL!$C$32, 37.4007, 37.3996) * CHOOSE(CONTROL!$C$15, $D$11, 100%, $F$11)</f>
        <v>37.400700000000001</v>
      </c>
      <c r="D999" s="8">
        <f>CHOOSE( CONTROL!$C$32, 37.3829, 37.3818) * CHOOSE( CONTROL!$C$15, $D$11, 100%, $F$11)</f>
        <v>37.382899999999999</v>
      </c>
      <c r="E999" s="12">
        <f>CHOOSE( CONTROL!$C$32, 37.3889, 37.3878) * CHOOSE( CONTROL!$C$15, $D$11, 100%, $F$11)</f>
        <v>37.3889</v>
      </c>
      <c r="F999" s="4">
        <f>CHOOSE( CONTROL!$C$32, 38.0609, 38.0598) * CHOOSE(CONTROL!$C$15, $D$11, 100%, $F$11)</f>
        <v>38.060899999999997</v>
      </c>
      <c r="G999" s="8">
        <f>CHOOSE( CONTROL!$C$32, 36.9693, 36.9682) * CHOOSE( CONTROL!$C$15, $D$11, 100%, $F$11)</f>
        <v>36.969299999999997</v>
      </c>
      <c r="H999" s="4">
        <f>CHOOSE( CONTROL!$C$32, 37.8619, 37.8608) * CHOOSE(CONTROL!$C$15, $D$11, 100%, $F$11)</f>
        <v>37.861899999999999</v>
      </c>
      <c r="I999" s="8">
        <f>CHOOSE( CONTROL!$C$32, 36.4827, 36.4816) * CHOOSE(CONTROL!$C$15, $D$11, 100%, $F$11)</f>
        <v>36.482700000000001</v>
      </c>
      <c r="J999" s="4">
        <f>CHOOSE( CONTROL!$C$32, 36.2837, 36.2827) * CHOOSE(CONTROL!$C$15, $D$11, 100%, $F$11)</f>
        <v>36.283700000000003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71589</v>
      </c>
      <c r="B1000" s="8">
        <f>CHOOSE( CONTROL!$C$32, 37.3277, 37.3266) * CHOOSE(CONTROL!$C$15, $D$11, 100%, $F$11)</f>
        <v>37.3277</v>
      </c>
      <c r="C1000" s="8">
        <f>CHOOSE( CONTROL!$C$32, 37.3327, 37.3316) * CHOOSE(CONTROL!$C$15, $D$11, 100%, $F$11)</f>
        <v>37.332700000000003</v>
      </c>
      <c r="D1000" s="8">
        <f>CHOOSE( CONTROL!$C$32, 37.3163, 37.3153) * CHOOSE( CONTROL!$C$15, $D$11, 100%, $F$11)</f>
        <v>37.316299999999998</v>
      </c>
      <c r="E1000" s="12">
        <f>CHOOSE( CONTROL!$C$32, 37.3218, 37.3207) * CHOOSE( CONTROL!$C$15, $D$11, 100%, $F$11)</f>
        <v>37.321800000000003</v>
      </c>
      <c r="F1000" s="4">
        <f>CHOOSE( CONTROL!$C$32, 37.9929, 37.9919) * CHOOSE(CONTROL!$C$15, $D$11, 100%, $F$11)</f>
        <v>37.992899999999999</v>
      </c>
      <c r="G1000" s="8">
        <f>CHOOSE( CONTROL!$C$32, 36.9031, 36.9021) * CHOOSE( CONTROL!$C$15, $D$11, 100%, $F$11)</f>
        <v>36.903100000000002</v>
      </c>
      <c r="H1000" s="4">
        <f>CHOOSE( CONTROL!$C$32, 37.7947, 37.7936) * CHOOSE(CONTROL!$C$15, $D$11, 100%, $F$11)</f>
        <v>37.794699999999999</v>
      </c>
      <c r="I1000" s="8">
        <f>CHOOSE( CONTROL!$C$32, 36.4211, 36.4201) * CHOOSE(CONTROL!$C$15, $D$11, 100%, $F$11)</f>
        <v>36.421100000000003</v>
      </c>
      <c r="J1000" s="4">
        <f>CHOOSE( CONTROL!$C$32, 36.2177, 36.2167) * CHOOSE(CONTROL!$C$15, $D$11, 100%, $F$11)</f>
        <v>36.217700000000001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71620</v>
      </c>
      <c r="B1001" s="8">
        <f>CHOOSE( CONTROL!$C$32, 38.4284, 38.4273) * CHOOSE(CONTROL!$C$15, $D$11, 100%, $F$11)</f>
        <v>38.428400000000003</v>
      </c>
      <c r="C1001" s="8">
        <f>CHOOSE( CONTROL!$C$32, 38.4335, 38.4324) * CHOOSE(CONTROL!$C$15, $D$11, 100%, $F$11)</f>
        <v>38.433500000000002</v>
      </c>
      <c r="D1001" s="8">
        <f>CHOOSE( CONTROL!$C$32, 38.4122, 38.4111) * CHOOSE( CONTROL!$C$15, $D$11, 100%, $F$11)</f>
        <v>38.412199999999999</v>
      </c>
      <c r="E1001" s="12">
        <f>CHOOSE( CONTROL!$C$32, 38.4194, 38.4183) * CHOOSE( CONTROL!$C$15, $D$11, 100%, $F$11)</f>
        <v>38.419400000000003</v>
      </c>
      <c r="F1001" s="4">
        <f>CHOOSE( CONTROL!$C$32, 39.0937, 39.0926) * CHOOSE(CONTROL!$C$15, $D$11, 100%, $F$11)</f>
        <v>39.093699999999998</v>
      </c>
      <c r="G1001" s="8">
        <f>CHOOSE( CONTROL!$C$32, 37.9805, 37.9794) * CHOOSE( CONTROL!$C$15, $D$11, 100%, $F$11)</f>
        <v>37.980499999999999</v>
      </c>
      <c r="H1001" s="4">
        <f>CHOOSE( CONTROL!$C$32, 38.8825, 38.8814) * CHOOSE(CONTROL!$C$15, $D$11, 100%, $F$11)</f>
        <v>38.8825</v>
      </c>
      <c r="I1001" s="8">
        <f>CHOOSE( CONTROL!$C$32, 37.452, 37.4509) * CHOOSE(CONTROL!$C$15, $D$11, 100%, $F$11)</f>
        <v>37.451999999999998</v>
      </c>
      <c r="J1001" s="4">
        <f>CHOOSE( CONTROL!$C$32, 37.286, 37.285) * CHOOSE(CONTROL!$C$15, $D$11, 100%, $F$11)</f>
        <v>37.286000000000001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71649</v>
      </c>
      <c r="B1002" s="8">
        <f>CHOOSE( CONTROL!$C$32, 35.9447, 35.9436) * CHOOSE(CONTROL!$C$15, $D$11, 100%, $F$11)</f>
        <v>35.944699999999997</v>
      </c>
      <c r="C1002" s="8">
        <f>CHOOSE( CONTROL!$C$32, 35.9498, 35.9487) * CHOOSE(CONTROL!$C$15, $D$11, 100%, $F$11)</f>
        <v>35.949800000000003</v>
      </c>
      <c r="D1002" s="8">
        <f>CHOOSE( CONTROL!$C$32, 35.9284, 35.9273) * CHOOSE( CONTROL!$C$15, $D$11, 100%, $F$11)</f>
        <v>35.928400000000003</v>
      </c>
      <c r="E1002" s="12">
        <f>CHOOSE( CONTROL!$C$32, 35.9357, 35.9346) * CHOOSE( CONTROL!$C$15, $D$11, 100%, $F$11)</f>
        <v>35.935699999999997</v>
      </c>
      <c r="F1002" s="4">
        <f>CHOOSE( CONTROL!$C$32, 36.61, 36.6089) * CHOOSE(CONTROL!$C$15, $D$11, 100%, $F$11)</f>
        <v>36.61</v>
      </c>
      <c r="G1002" s="8">
        <f>CHOOSE( CONTROL!$C$32, 35.5258, 35.5247) * CHOOSE( CONTROL!$C$15, $D$11, 100%, $F$11)</f>
        <v>35.525799999999997</v>
      </c>
      <c r="H1002" s="4">
        <f>CHOOSE( CONTROL!$C$32, 36.4279, 36.4268) * CHOOSE(CONTROL!$C$15, $D$11, 100%, $F$11)</f>
        <v>36.427900000000001</v>
      </c>
      <c r="I1002" s="8">
        <f>CHOOSE( CONTROL!$C$32, 35.04, 35.0389) * CHOOSE(CONTROL!$C$15, $D$11, 100%, $F$11)</f>
        <v>35.04</v>
      </c>
      <c r="J1002" s="4">
        <f>CHOOSE( CONTROL!$C$32, 34.8756, 34.8746) * CHOOSE(CONTROL!$C$15, $D$11, 100%, $F$11)</f>
        <v>34.875599999999999</v>
      </c>
      <c r="K1002" s="4"/>
      <c r="L1002" s="9">
        <v>27.415299999999998</v>
      </c>
      <c r="M1002" s="9">
        <v>11.285299999999999</v>
      </c>
      <c r="N1002" s="9">
        <v>4.6254999999999997</v>
      </c>
      <c r="O1002" s="9">
        <v>0.34989999999999999</v>
      </c>
      <c r="P1002" s="9">
        <v>1.2093</v>
      </c>
      <c r="Q1002" s="9">
        <v>18.417899999999999</v>
      </c>
      <c r="R1002" s="9"/>
      <c r="S1002" s="11"/>
    </row>
    <row r="1003" spans="1:19" ht="15.75">
      <c r="A1003" s="13">
        <v>71680</v>
      </c>
      <c r="B1003" s="8">
        <f>CHOOSE( CONTROL!$C$32, 35.1798, 35.1787) * CHOOSE(CONTROL!$C$15, $D$11, 100%, $F$11)</f>
        <v>35.1798</v>
      </c>
      <c r="C1003" s="8">
        <f>CHOOSE( CONTROL!$C$32, 35.1848, 35.1838) * CHOOSE(CONTROL!$C$15, $D$11, 100%, $F$11)</f>
        <v>35.184800000000003</v>
      </c>
      <c r="D1003" s="8">
        <f>CHOOSE( CONTROL!$C$32, 35.1628, 35.1617) * CHOOSE( CONTROL!$C$15, $D$11, 100%, $F$11)</f>
        <v>35.162799999999997</v>
      </c>
      <c r="E1003" s="12">
        <f>CHOOSE( CONTROL!$C$32, 35.1703, 35.1692) * CHOOSE( CONTROL!$C$15, $D$11, 100%, $F$11)</f>
        <v>35.170299999999997</v>
      </c>
      <c r="F1003" s="4">
        <f>CHOOSE( CONTROL!$C$32, 35.845, 35.844) * CHOOSE(CONTROL!$C$15, $D$11, 100%, $F$11)</f>
        <v>35.844999999999999</v>
      </c>
      <c r="G1003" s="8">
        <f>CHOOSE( CONTROL!$C$32, 34.7693, 34.7683) * CHOOSE( CONTROL!$C$15, $D$11, 100%, $F$11)</f>
        <v>34.769300000000001</v>
      </c>
      <c r="H1003" s="4">
        <f>CHOOSE( CONTROL!$C$32, 35.6719, 35.6708) * CHOOSE(CONTROL!$C$15, $D$11, 100%, $F$11)</f>
        <v>35.671900000000001</v>
      </c>
      <c r="I1003" s="8">
        <f>CHOOSE( CONTROL!$C$32, 34.2952, 34.2942) * CHOOSE(CONTROL!$C$15, $D$11, 100%, $F$11)</f>
        <v>34.295200000000001</v>
      </c>
      <c r="J1003" s="4">
        <f>CHOOSE( CONTROL!$C$32, 34.1332, 34.1322) * CHOOSE(CONTROL!$C$15, $D$11, 100%, $F$11)</f>
        <v>34.133200000000002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71710</v>
      </c>
      <c r="B1004" s="8">
        <f>CHOOSE( CONTROL!$C$32, 35.7151, 35.714) * CHOOSE(CONTROL!$C$15, $D$11, 100%, $F$11)</f>
        <v>35.7151</v>
      </c>
      <c r="C1004" s="8">
        <f>CHOOSE( CONTROL!$C$32, 35.7196, 35.7185) * CHOOSE(CONTROL!$C$15, $D$11, 100%, $F$11)</f>
        <v>35.7196</v>
      </c>
      <c r="D1004" s="8">
        <f>CHOOSE( CONTROL!$C$32, 35.7224, 35.7213) * CHOOSE( CONTROL!$C$15, $D$11, 100%, $F$11)</f>
        <v>35.7224</v>
      </c>
      <c r="E1004" s="12">
        <f>CHOOSE( CONTROL!$C$32, 35.721, 35.7199) * CHOOSE( CONTROL!$C$15, $D$11, 100%, $F$11)</f>
        <v>35.720999999999997</v>
      </c>
      <c r="F1004" s="4">
        <f>CHOOSE( CONTROL!$C$32, 36.4234, 36.4223) * CHOOSE(CONTROL!$C$15, $D$11, 100%, $F$11)</f>
        <v>36.423400000000001</v>
      </c>
      <c r="G1004" s="8">
        <f>CHOOSE( CONTROL!$C$32, 35.3081, 35.307) * CHOOSE( CONTROL!$C$15, $D$11, 100%, $F$11)</f>
        <v>35.308100000000003</v>
      </c>
      <c r="H1004" s="4">
        <f>CHOOSE( CONTROL!$C$32, 36.2435, 36.2424) * CHOOSE(CONTROL!$C$15, $D$11, 100%, $F$11)</f>
        <v>36.243499999999997</v>
      </c>
      <c r="I1004" s="8">
        <f>CHOOSE( CONTROL!$C$32, 34.7865, 34.7855) * CHOOSE(CONTROL!$C$15, $D$11, 100%, $F$11)</f>
        <v>34.786499999999997</v>
      </c>
      <c r="J1004" s="4">
        <f>CHOOSE( CONTROL!$C$32, 34.652, 34.6509) * CHOOSE(CONTROL!$C$15, $D$11, 100%, $F$11)</f>
        <v>34.652000000000001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1.2509999999999999</v>
      </c>
      <c r="Q1004" s="9">
        <v>19.053000000000001</v>
      </c>
      <c r="R1004" s="9"/>
      <c r="S1004" s="11"/>
    </row>
    <row r="1005" spans="1:19" ht="15.75">
      <c r="A1005" s="13">
        <v>71741</v>
      </c>
      <c r="B1005" s="8">
        <f>CHOOSE( CONTROL!$C$32, 36.6684, 36.6667) * CHOOSE(CONTROL!$C$15, $D$11, 100%, $F$11)</f>
        <v>36.668399999999998</v>
      </c>
      <c r="C1005" s="8">
        <f>CHOOSE( CONTROL!$C$32, 36.6763, 36.6747) * CHOOSE(CONTROL!$C$15, $D$11, 100%, $F$11)</f>
        <v>36.676299999999998</v>
      </c>
      <c r="D1005" s="8">
        <f>CHOOSE( CONTROL!$C$32, 36.6731, 36.6714) * CHOOSE( CONTROL!$C$15, $D$11, 100%, $F$11)</f>
        <v>36.673099999999998</v>
      </c>
      <c r="E1005" s="12">
        <f>CHOOSE( CONTROL!$C$32, 36.6731, 36.6714) * CHOOSE( CONTROL!$C$15, $D$11, 100%, $F$11)</f>
        <v>36.673099999999998</v>
      </c>
      <c r="F1005" s="4">
        <f>CHOOSE( CONTROL!$C$32, 37.3753, 37.3737) * CHOOSE(CONTROL!$C$15, $D$11, 100%, $F$11)</f>
        <v>37.375300000000003</v>
      </c>
      <c r="G1005" s="8">
        <f>CHOOSE( CONTROL!$C$32, 36.2488, 36.2471) * CHOOSE( CONTROL!$C$15, $D$11, 100%, $F$11)</f>
        <v>36.248800000000003</v>
      </c>
      <c r="H1005" s="4">
        <f>CHOOSE( CONTROL!$C$32, 37.1843, 37.1826) * CHOOSE(CONTROL!$C$15, $D$11, 100%, $F$11)</f>
        <v>37.1843</v>
      </c>
      <c r="I1005" s="8">
        <f>CHOOSE( CONTROL!$C$32, 35.7101, 35.7085) * CHOOSE(CONTROL!$C$15, $D$11, 100%, $F$11)</f>
        <v>35.710099999999997</v>
      </c>
      <c r="J1005" s="4">
        <f>CHOOSE( CONTROL!$C$32, 35.5758, 35.5742) * CHOOSE(CONTROL!$C$15, $D$11, 100%, $F$11)</f>
        <v>35.575800000000001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1.2927</v>
      </c>
      <c r="Q1005" s="9">
        <v>19.688099999999999</v>
      </c>
      <c r="R1005" s="9"/>
      <c r="S1005" s="11"/>
    </row>
    <row r="1006" spans="1:19" ht="15.75">
      <c r="A1006" s="13">
        <v>71771</v>
      </c>
      <c r="B1006" s="8">
        <f>CHOOSE( CONTROL!$C$32, 36.079, 36.0774) * CHOOSE(CONTROL!$C$15, $D$11, 100%, $F$11)</f>
        <v>36.079000000000001</v>
      </c>
      <c r="C1006" s="8">
        <f>CHOOSE( CONTROL!$C$32, 36.087, 36.0853) * CHOOSE(CONTROL!$C$15, $D$11, 100%, $F$11)</f>
        <v>36.087000000000003</v>
      </c>
      <c r="D1006" s="8">
        <f>CHOOSE( CONTROL!$C$32, 36.084, 36.0823) * CHOOSE( CONTROL!$C$15, $D$11, 100%, $F$11)</f>
        <v>36.084000000000003</v>
      </c>
      <c r="E1006" s="12">
        <f>CHOOSE( CONTROL!$C$32, 36.0839, 36.0822) * CHOOSE( CONTROL!$C$15, $D$11, 100%, $F$11)</f>
        <v>36.0839</v>
      </c>
      <c r="F1006" s="4">
        <f>CHOOSE( CONTROL!$C$32, 36.786, 36.7843) * CHOOSE(CONTROL!$C$15, $D$11, 100%, $F$11)</f>
        <v>36.786000000000001</v>
      </c>
      <c r="G1006" s="8">
        <f>CHOOSE( CONTROL!$C$32, 35.6665, 35.6649) * CHOOSE( CONTROL!$C$15, $D$11, 100%, $F$11)</f>
        <v>35.666499999999999</v>
      </c>
      <c r="H1006" s="4">
        <f>CHOOSE( CONTROL!$C$32, 36.6018, 36.6002) * CHOOSE(CONTROL!$C$15, $D$11, 100%, $F$11)</f>
        <v>36.601799999999997</v>
      </c>
      <c r="I1006" s="8">
        <f>CHOOSE( CONTROL!$C$32, 35.1386, 35.137) * CHOOSE(CONTROL!$C$15, $D$11, 100%, $F$11)</f>
        <v>35.138599999999997</v>
      </c>
      <c r="J1006" s="4">
        <f>CHOOSE( CONTROL!$C$32, 35.0039, 35.0023) * CHOOSE(CONTROL!$C$15, $D$11, 100%, $F$11)</f>
        <v>35.003900000000002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1.2509999999999999</v>
      </c>
      <c r="Q1006" s="9">
        <v>19.053000000000001</v>
      </c>
      <c r="R1006" s="9"/>
      <c r="S1006" s="11"/>
    </row>
    <row r="1007" spans="1:19" ht="15.75">
      <c r="A1007" s="13">
        <v>71802</v>
      </c>
      <c r="B1007" s="8">
        <f>CHOOSE( CONTROL!$C$32, 37.631, 37.6293) * CHOOSE(CONTROL!$C$15, $D$11, 100%, $F$11)</f>
        <v>37.631</v>
      </c>
      <c r="C1007" s="8">
        <f>CHOOSE( CONTROL!$C$32, 37.6389, 37.6373) * CHOOSE(CONTROL!$C$15, $D$11, 100%, $F$11)</f>
        <v>37.6389</v>
      </c>
      <c r="D1007" s="8">
        <f>CHOOSE( CONTROL!$C$32, 37.6362, 37.6345) * CHOOSE( CONTROL!$C$15, $D$11, 100%, $F$11)</f>
        <v>37.636200000000002</v>
      </c>
      <c r="E1007" s="12">
        <f>CHOOSE( CONTROL!$C$32, 37.636, 37.6343) * CHOOSE( CONTROL!$C$15, $D$11, 100%, $F$11)</f>
        <v>37.636000000000003</v>
      </c>
      <c r="F1007" s="4">
        <f>CHOOSE( CONTROL!$C$32, 38.3379, 38.3363) * CHOOSE(CONTROL!$C$15, $D$11, 100%, $F$11)</f>
        <v>38.337899999999998</v>
      </c>
      <c r="G1007" s="8">
        <f>CHOOSE( CONTROL!$C$32, 37.2005, 37.1988) * CHOOSE( CONTROL!$C$15, $D$11, 100%, $F$11)</f>
        <v>37.200499999999998</v>
      </c>
      <c r="H1007" s="4">
        <f>CHOOSE( CONTROL!$C$32, 38.1356, 38.134) * CHOOSE(CONTROL!$C$15, $D$11, 100%, $F$11)</f>
        <v>38.135599999999997</v>
      </c>
      <c r="I1007" s="8">
        <f>CHOOSE( CONTROL!$C$32, 36.6464, 36.6448) * CHOOSE(CONTROL!$C$15, $D$11, 100%, $F$11)</f>
        <v>36.6464</v>
      </c>
      <c r="J1007" s="4">
        <f>CHOOSE( CONTROL!$C$32, 36.51, 36.5084) * CHOOSE(CONTROL!$C$15, $D$11, 100%, $F$11)</f>
        <v>36.51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1.2927</v>
      </c>
      <c r="Q1007" s="9">
        <v>19.688099999999999</v>
      </c>
      <c r="R1007" s="9"/>
      <c r="S1007" s="11"/>
    </row>
    <row r="1008" spans="1:19" ht="15.75">
      <c r="A1008" s="13">
        <v>71833</v>
      </c>
      <c r="B1008" s="8">
        <f>CHOOSE( CONTROL!$C$32, 34.7271, 34.7255) * CHOOSE(CONTROL!$C$15, $D$11, 100%, $F$11)</f>
        <v>34.7271</v>
      </c>
      <c r="C1008" s="8">
        <f>CHOOSE( CONTROL!$C$32, 34.7351, 34.7334) * CHOOSE(CONTROL!$C$15, $D$11, 100%, $F$11)</f>
        <v>34.735100000000003</v>
      </c>
      <c r="D1008" s="8">
        <f>CHOOSE( CONTROL!$C$32, 34.7324, 34.7307) * CHOOSE( CONTROL!$C$15, $D$11, 100%, $F$11)</f>
        <v>34.732399999999998</v>
      </c>
      <c r="E1008" s="12">
        <f>CHOOSE( CONTROL!$C$32, 34.7322, 34.7305) * CHOOSE( CONTROL!$C$15, $D$11, 100%, $F$11)</f>
        <v>34.732199999999999</v>
      </c>
      <c r="F1008" s="4">
        <f>CHOOSE( CONTROL!$C$32, 35.4341, 35.4324) * CHOOSE(CONTROL!$C$15, $D$11, 100%, $F$11)</f>
        <v>35.434100000000001</v>
      </c>
      <c r="G1008" s="8">
        <f>CHOOSE( CONTROL!$C$32, 34.3307, 34.3291) * CHOOSE( CONTROL!$C$15, $D$11, 100%, $F$11)</f>
        <v>34.3307</v>
      </c>
      <c r="H1008" s="4">
        <f>CHOOSE( CONTROL!$C$32, 35.2657, 35.2641) * CHOOSE(CONTROL!$C$15, $D$11, 100%, $F$11)</f>
        <v>35.265700000000002</v>
      </c>
      <c r="I1008" s="8">
        <f>CHOOSE( CONTROL!$C$32, 33.8271, 33.8255) * CHOOSE(CONTROL!$C$15, $D$11, 100%, $F$11)</f>
        <v>33.827100000000002</v>
      </c>
      <c r="J1008" s="4">
        <f>CHOOSE( CONTROL!$C$32, 33.6919, 33.6902) * CHOOSE(CONTROL!$C$15, $D$11, 100%, $F$11)</f>
        <v>33.691899999999997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1.2927</v>
      </c>
      <c r="Q1008" s="9">
        <v>19.688099999999999</v>
      </c>
      <c r="R1008" s="9"/>
      <c r="S1008" s="11"/>
    </row>
    <row r="1009" spans="1:19" ht="15.75">
      <c r="A1009" s="13">
        <v>71863</v>
      </c>
      <c r="B1009" s="8">
        <f>CHOOSE( CONTROL!$C$32, 34, 33.9983) * CHOOSE(CONTROL!$C$15, $D$11, 100%, $F$11)</f>
        <v>34</v>
      </c>
      <c r="C1009" s="8">
        <f>CHOOSE( CONTROL!$C$32, 34.0079, 34.0063) * CHOOSE(CONTROL!$C$15, $D$11, 100%, $F$11)</f>
        <v>34.007899999999999</v>
      </c>
      <c r="D1009" s="8">
        <f>CHOOSE( CONTROL!$C$32, 34.0052, 34.0035) * CHOOSE( CONTROL!$C$15, $D$11, 100%, $F$11)</f>
        <v>34.005200000000002</v>
      </c>
      <c r="E1009" s="12">
        <f>CHOOSE( CONTROL!$C$32, 34.005, 34.0033) * CHOOSE( CONTROL!$C$15, $D$11, 100%, $F$11)</f>
        <v>34.005000000000003</v>
      </c>
      <c r="F1009" s="4">
        <f>CHOOSE( CONTROL!$C$32, 34.7069, 34.7053) * CHOOSE(CONTROL!$C$15, $D$11, 100%, $F$11)</f>
        <v>34.706899999999997</v>
      </c>
      <c r="G1009" s="8">
        <f>CHOOSE( CONTROL!$C$32, 33.612, 33.6104) * CHOOSE( CONTROL!$C$15, $D$11, 100%, $F$11)</f>
        <v>33.612000000000002</v>
      </c>
      <c r="H1009" s="4">
        <f>CHOOSE( CONTROL!$C$32, 34.5471, 34.5455) * CHOOSE(CONTROL!$C$15, $D$11, 100%, $F$11)</f>
        <v>34.5471</v>
      </c>
      <c r="I1009" s="8">
        <f>CHOOSE( CONTROL!$C$32, 33.1209, 33.1193) * CHOOSE(CONTROL!$C$15, $D$11, 100%, $F$11)</f>
        <v>33.120899999999999</v>
      </c>
      <c r="J1009" s="4">
        <f>CHOOSE( CONTROL!$C$32, 32.9861, 32.9845) * CHOOSE(CONTROL!$C$15, $D$11, 100%, $F$11)</f>
        <v>32.9861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1.2509999999999999</v>
      </c>
      <c r="Q1009" s="9">
        <v>19.053000000000001</v>
      </c>
      <c r="R1009" s="9"/>
      <c r="S1009" s="11"/>
    </row>
    <row r="1010" spans="1:19" ht="15.75">
      <c r="A1010" s="13">
        <v>71894</v>
      </c>
      <c r="B1010" s="8">
        <f>CHOOSE( CONTROL!$C$32, 35.5075, 35.5064) * CHOOSE(CONTROL!$C$15, $D$11, 100%, $F$11)</f>
        <v>35.5075</v>
      </c>
      <c r="C1010" s="8">
        <f>CHOOSE( CONTROL!$C$32, 35.5128, 35.5117) * CHOOSE(CONTROL!$C$15, $D$11, 100%, $F$11)</f>
        <v>35.512799999999999</v>
      </c>
      <c r="D1010" s="8">
        <f>CHOOSE( CONTROL!$C$32, 35.5157, 35.5146) * CHOOSE( CONTROL!$C$15, $D$11, 100%, $F$11)</f>
        <v>35.515700000000002</v>
      </c>
      <c r="E1010" s="12">
        <f>CHOOSE( CONTROL!$C$32, 35.5142, 35.5131) * CHOOSE( CONTROL!$C$15, $D$11, 100%, $F$11)</f>
        <v>35.514200000000002</v>
      </c>
      <c r="F1010" s="4">
        <f>CHOOSE( CONTROL!$C$32, 36.2162, 36.2151) * CHOOSE(CONTROL!$C$15, $D$11, 100%, $F$11)</f>
        <v>36.216200000000001</v>
      </c>
      <c r="G1010" s="8">
        <f>CHOOSE( CONTROL!$C$32, 35.1038, 35.1027) * CHOOSE( CONTROL!$C$15, $D$11, 100%, $F$11)</f>
        <v>35.1038</v>
      </c>
      <c r="H1010" s="4">
        <f>CHOOSE( CONTROL!$C$32, 36.0387, 36.0376) * CHOOSE(CONTROL!$C$15, $D$11, 100%, $F$11)</f>
        <v>36.038699999999999</v>
      </c>
      <c r="I1010" s="8">
        <f>CHOOSE( CONTROL!$C$32, 34.5872, 34.5861) * CHOOSE(CONTROL!$C$15, $D$11, 100%, $F$11)</f>
        <v>34.587200000000003</v>
      </c>
      <c r="J1010" s="4">
        <f>CHOOSE( CONTROL!$C$32, 34.4509, 34.4498) * CHOOSE(CONTROL!$C$15, $D$11, 100%, $F$11)</f>
        <v>34.450899999999997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1.2927</v>
      </c>
      <c r="Q1010" s="9">
        <v>19.688099999999999</v>
      </c>
      <c r="R1010" s="9"/>
      <c r="S1010" s="11"/>
    </row>
    <row r="1011" spans="1:19" ht="15.75">
      <c r="A1011" s="13">
        <v>71924</v>
      </c>
      <c r="B1011" s="8">
        <f>CHOOSE( CONTROL!$C$32, 38.2939, 38.2928) * CHOOSE(CONTROL!$C$15, $D$11, 100%, $F$11)</f>
        <v>38.293900000000001</v>
      </c>
      <c r="C1011" s="8">
        <f>CHOOSE( CONTROL!$C$32, 38.299, 38.2979) * CHOOSE(CONTROL!$C$15, $D$11, 100%, $F$11)</f>
        <v>38.298999999999999</v>
      </c>
      <c r="D1011" s="8">
        <f>CHOOSE( CONTROL!$C$32, 38.2812, 38.2801) * CHOOSE( CONTROL!$C$15, $D$11, 100%, $F$11)</f>
        <v>38.281199999999998</v>
      </c>
      <c r="E1011" s="12">
        <f>CHOOSE( CONTROL!$C$32, 38.2872, 38.2861) * CHOOSE( CONTROL!$C$15, $D$11, 100%, $F$11)</f>
        <v>38.287199999999999</v>
      </c>
      <c r="F1011" s="4">
        <f>CHOOSE( CONTROL!$C$32, 38.9592, 38.9581) * CHOOSE(CONTROL!$C$15, $D$11, 100%, $F$11)</f>
        <v>38.959200000000003</v>
      </c>
      <c r="G1011" s="8">
        <f>CHOOSE( CONTROL!$C$32, 37.8571, 37.856) * CHOOSE( CONTROL!$C$15, $D$11, 100%, $F$11)</f>
        <v>37.857100000000003</v>
      </c>
      <c r="H1011" s="4">
        <f>CHOOSE( CONTROL!$C$32, 38.7496, 38.7485) * CHOOSE(CONTROL!$C$15, $D$11, 100%, $F$11)</f>
        <v>38.749600000000001</v>
      </c>
      <c r="I1011" s="8">
        <f>CHOOSE( CONTROL!$C$32, 37.3549, 37.3539) * CHOOSE(CONTROL!$C$15, $D$11, 100%, $F$11)</f>
        <v>37.354900000000001</v>
      </c>
      <c r="J1011" s="4">
        <f>CHOOSE( CONTROL!$C$32, 37.1555, 37.1545) * CHOOSE(CONTROL!$C$15, $D$11, 100%, $F$11)</f>
        <v>37.155500000000004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71955</v>
      </c>
      <c r="B1012" s="8">
        <f>CHOOSE( CONTROL!$C$32, 38.2243, 38.2232) * CHOOSE(CONTROL!$C$15, $D$11, 100%, $F$11)</f>
        <v>38.224299999999999</v>
      </c>
      <c r="C1012" s="8">
        <f>CHOOSE( CONTROL!$C$32, 38.2294, 38.2283) * CHOOSE(CONTROL!$C$15, $D$11, 100%, $F$11)</f>
        <v>38.229399999999998</v>
      </c>
      <c r="D1012" s="8">
        <f>CHOOSE( CONTROL!$C$32, 38.213, 38.2119) * CHOOSE( CONTROL!$C$15, $D$11, 100%, $F$11)</f>
        <v>38.213000000000001</v>
      </c>
      <c r="E1012" s="12">
        <f>CHOOSE( CONTROL!$C$32, 38.2185, 38.2174) * CHOOSE( CONTROL!$C$15, $D$11, 100%, $F$11)</f>
        <v>38.218499999999999</v>
      </c>
      <c r="F1012" s="4">
        <f>CHOOSE( CONTROL!$C$32, 38.8896, 38.8885) * CHOOSE(CONTROL!$C$15, $D$11, 100%, $F$11)</f>
        <v>38.889600000000002</v>
      </c>
      <c r="G1012" s="8">
        <f>CHOOSE( CONTROL!$C$32, 37.7893, 37.7882) * CHOOSE( CONTROL!$C$15, $D$11, 100%, $F$11)</f>
        <v>37.789299999999997</v>
      </c>
      <c r="H1012" s="4">
        <f>CHOOSE( CONTROL!$C$32, 38.6808, 38.6797) * CHOOSE(CONTROL!$C$15, $D$11, 100%, $F$11)</f>
        <v>38.680799999999998</v>
      </c>
      <c r="I1012" s="8">
        <f>CHOOSE( CONTROL!$C$32, 37.2918, 37.2907) * CHOOSE(CONTROL!$C$15, $D$11, 100%, $F$11)</f>
        <v>37.291800000000002</v>
      </c>
      <c r="J1012" s="4">
        <f>CHOOSE( CONTROL!$C$32, 37.0879, 37.0869) * CHOOSE(CONTROL!$C$15, $D$11, 100%, $F$11)</f>
        <v>37.087899999999998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71986</v>
      </c>
      <c r="B1013" s="8">
        <f>CHOOSE( CONTROL!$C$32, 39.3515, 39.3504) * CHOOSE(CONTROL!$C$15, $D$11, 100%, $F$11)</f>
        <v>39.351500000000001</v>
      </c>
      <c r="C1013" s="8">
        <f>CHOOSE( CONTROL!$C$32, 39.3566, 39.3555) * CHOOSE(CONTROL!$C$15, $D$11, 100%, $F$11)</f>
        <v>39.3566</v>
      </c>
      <c r="D1013" s="8">
        <f>CHOOSE( CONTROL!$C$32, 39.3353, 39.3342) * CHOOSE( CONTROL!$C$15, $D$11, 100%, $F$11)</f>
        <v>39.335299999999997</v>
      </c>
      <c r="E1013" s="12">
        <f>CHOOSE( CONTROL!$C$32, 39.3425, 39.3414) * CHOOSE( CONTROL!$C$15, $D$11, 100%, $F$11)</f>
        <v>39.342500000000001</v>
      </c>
      <c r="F1013" s="4">
        <f>CHOOSE( CONTROL!$C$32, 40.0168, 40.0157) * CHOOSE(CONTROL!$C$15, $D$11, 100%, $F$11)</f>
        <v>40.016800000000003</v>
      </c>
      <c r="G1013" s="8">
        <f>CHOOSE( CONTROL!$C$32, 38.8928, 38.8917) * CHOOSE( CONTROL!$C$15, $D$11, 100%, $F$11)</f>
        <v>38.892800000000001</v>
      </c>
      <c r="H1013" s="4">
        <f>CHOOSE( CONTROL!$C$32, 39.7948, 39.7937) * CHOOSE(CONTROL!$C$15, $D$11, 100%, $F$11)</f>
        <v>39.794800000000002</v>
      </c>
      <c r="I1013" s="8">
        <f>CHOOSE( CONTROL!$C$32, 38.3483, 38.3473) * CHOOSE(CONTROL!$C$15, $D$11, 100%, $F$11)</f>
        <v>38.348300000000002</v>
      </c>
      <c r="J1013" s="4">
        <f>CHOOSE( CONTROL!$C$32, 38.1819, 38.1808) * CHOOSE(CONTROL!$C$15, $D$11, 100%, $F$11)</f>
        <v>38.181899999999999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72014</v>
      </c>
      <c r="B1014" s="8">
        <f>CHOOSE( CONTROL!$C$32, 36.8081, 36.8071) * CHOOSE(CONTROL!$C$15, $D$11, 100%, $F$11)</f>
        <v>36.808100000000003</v>
      </c>
      <c r="C1014" s="8">
        <f>CHOOSE( CONTROL!$C$32, 36.8132, 36.8121) * CHOOSE(CONTROL!$C$15, $D$11, 100%, $F$11)</f>
        <v>36.813200000000002</v>
      </c>
      <c r="D1014" s="8">
        <f>CHOOSE( CONTROL!$C$32, 36.7918, 36.7907) * CHOOSE( CONTROL!$C$15, $D$11, 100%, $F$11)</f>
        <v>36.791800000000002</v>
      </c>
      <c r="E1014" s="12">
        <f>CHOOSE( CONTROL!$C$32, 36.7991, 36.798) * CHOOSE( CONTROL!$C$15, $D$11, 100%, $F$11)</f>
        <v>36.799100000000003</v>
      </c>
      <c r="F1014" s="4">
        <f>CHOOSE( CONTROL!$C$32, 37.4734, 37.4723) * CHOOSE(CONTROL!$C$15, $D$11, 100%, $F$11)</f>
        <v>37.473399999999998</v>
      </c>
      <c r="G1014" s="8">
        <f>CHOOSE( CONTROL!$C$32, 36.3791, 36.378) * CHOOSE( CONTROL!$C$15, $D$11, 100%, $F$11)</f>
        <v>36.379100000000001</v>
      </c>
      <c r="H1014" s="4">
        <f>CHOOSE( CONTROL!$C$32, 37.2812, 37.2802) * CHOOSE(CONTROL!$C$15, $D$11, 100%, $F$11)</f>
        <v>37.281199999999998</v>
      </c>
      <c r="I1014" s="8">
        <f>CHOOSE( CONTROL!$C$32, 35.8783, 35.8773) * CHOOSE(CONTROL!$C$15, $D$11, 100%, $F$11)</f>
        <v>35.878300000000003</v>
      </c>
      <c r="J1014" s="4">
        <f>CHOOSE( CONTROL!$C$32, 35.7136, 35.7125) * CHOOSE(CONTROL!$C$15, $D$11, 100%, $F$11)</f>
        <v>35.7136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72045</v>
      </c>
      <c r="B1015" s="8">
        <f>CHOOSE( CONTROL!$C$32, 36.0248, 36.0237) * CHOOSE(CONTROL!$C$15, $D$11, 100%, $F$11)</f>
        <v>36.024799999999999</v>
      </c>
      <c r="C1015" s="8">
        <f>CHOOSE( CONTROL!$C$32, 36.0299, 36.0288) * CHOOSE(CONTROL!$C$15, $D$11, 100%, $F$11)</f>
        <v>36.029899999999998</v>
      </c>
      <c r="D1015" s="8">
        <f>CHOOSE( CONTROL!$C$32, 36.0078, 36.0067) * CHOOSE( CONTROL!$C$15, $D$11, 100%, $F$11)</f>
        <v>36.007800000000003</v>
      </c>
      <c r="E1015" s="12">
        <f>CHOOSE( CONTROL!$C$32, 36.0153, 36.0142) * CHOOSE( CONTROL!$C$15, $D$11, 100%, $F$11)</f>
        <v>36.015300000000003</v>
      </c>
      <c r="F1015" s="4">
        <f>CHOOSE( CONTROL!$C$32, 36.6901, 36.689) * CHOOSE(CONTROL!$C$15, $D$11, 100%, $F$11)</f>
        <v>36.690100000000001</v>
      </c>
      <c r="G1015" s="8">
        <f>CHOOSE( CONTROL!$C$32, 35.6045, 35.6034) * CHOOSE( CONTROL!$C$15, $D$11, 100%, $F$11)</f>
        <v>35.604500000000002</v>
      </c>
      <c r="H1015" s="4">
        <f>CHOOSE( CONTROL!$C$32, 36.5071, 36.506) * CHOOSE(CONTROL!$C$15, $D$11, 100%, $F$11)</f>
        <v>36.507100000000001</v>
      </c>
      <c r="I1015" s="8">
        <f>CHOOSE( CONTROL!$C$32, 35.1157, 35.1147) * CHOOSE(CONTROL!$C$15, $D$11, 100%, $F$11)</f>
        <v>35.115699999999997</v>
      </c>
      <c r="J1015" s="4">
        <f>CHOOSE( CONTROL!$C$32, 34.9533, 34.9523) * CHOOSE(CONTROL!$C$15, $D$11, 100%, $F$11)</f>
        <v>34.953299999999999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72075</v>
      </c>
      <c r="B1016" s="8">
        <f>CHOOSE( CONTROL!$C$32, 36.5729, 36.5719) * CHOOSE(CONTROL!$C$15, $D$11, 100%, $F$11)</f>
        <v>36.572899999999997</v>
      </c>
      <c r="C1016" s="8">
        <f>CHOOSE( CONTROL!$C$32, 36.5775, 36.5764) * CHOOSE(CONTROL!$C$15, $D$11, 100%, $F$11)</f>
        <v>36.577500000000001</v>
      </c>
      <c r="D1016" s="8">
        <f>CHOOSE( CONTROL!$C$32, 36.5803, 36.5792) * CHOOSE( CONTROL!$C$15, $D$11, 100%, $F$11)</f>
        <v>36.580300000000001</v>
      </c>
      <c r="E1016" s="12">
        <f>CHOOSE( CONTROL!$C$32, 36.5789, 36.5778) * CHOOSE( CONTROL!$C$15, $D$11, 100%, $F$11)</f>
        <v>36.578899999999997</v>
      </c>
      <c r="F1016" s="4">
        <f>CHOOSE( CONTROL!$C$32, 37.2813, 37.2802) * CHOOSE(CONTROL!$C$15, $D$11, 100%, $F$11)</f>
        <v>37.281300000000002</v>
      </c>
      <c r="G1016" s="8">
        <f>CHOOSE( CONTROL!$C$32, 36.1559, 36.1549) * CHOOSE( CONTROL!$C$15, $D$11, 100%, $F$11)</f>
        <v>36.155900000000003</v>
      </c>
      <c r="H1016" s="4">
        <f>CHOOSE( CONTROL!$C$32, 37.0913, 37.0902) * CHOOSE(CONTROL!$C$15, $D$11, 100%, $F$11)</f>
        <v>37.091299999999997</v>
      </c>
      <c r="I1016" s="8">
        <f>CHOOSE( CONTROL!$C$32, 35.6195, 35.6184) * CHOOSE(CONTROL!$C$15, $D$11, 100%, $F$11)</f>
        <v>35.619500000000002</v>
      </c>
      <c r="J1016" s="4">
        <f>CHOOSE( CONTROL!$C$32, 35.4846, 35.4835) * CHOOSE(CONTROL!$C$15, $D$11, 100%, $F$11)</f>
        <v>35.4846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1.2509999999999999</v>
      </c>
      <c r="Q1016" s="9">
        <v>19.053000000000001</v>
      </c>
      <c r="R1016" s="9"/>
      <c r="S1016" s="11"/>
    </row>
    <row r="1017" spans="1:19" ht="15.75">
      <c r="A1017" s="13">
        <v>72106</v>
      </c>
      <c r="B1017" s="8">
        <f>CHOOSE( CONTROL!$C$32, 37.5491, 37.5474) * CHOOSE(CONTROL!$C$15, $D$11, 100%, $F$11)</f>
        <v>37.549100000000003</v>
      </c>
      <c r="C1017" s="8">
        <f>CHOOSE( CONTROL!$C$32, 37.5571, 37.5554) * CHOOSE(CONTROL!$C$15, $D$11, 100%, $F$11)</f>
        <v>37.557099999999998</v>
      </c>
      <c r="D1017" s="8">
        <f>CHOOSE( CONTROL!$C$32, 37.5538, 37.5522) * CHOOSE( CONTROL!$C$15, $D$11, 100%, $F$11)</f>
        <v>37.553800000000003</v>
      </c>
      <c r="E1017" s="12">
        <f>CHOOSE( CONTROL!$C$32, 37.5538, 37.5521) * CHOOSE( CONTROL!$C$15, $D$11, 100%, $F$11)</f>
        <v>37.553800000000003</v>
      </c>
      <c r="F1017" s="4">
        <f>CHOOSE( CONTROL!$C$32, 38.256, 38.2544) * CHOOSE(CONTROL!$C$15, $D$11, 100%, $F$11)</f>
        <v>38.256</v>
      </c>
      <c r="G1017" s="8">
        <f>CHOOSE( CONTROL!$C$32, 37.1192, 37.1175) * CHOOSE( CONTROL!$C$15, $D$11, 100%, $F$11)</f>
        <v>37.119199999999999</v>
      </c>
      <c r="H1017" s="4">
        <f>CHOOSE( CONTROL!$C$32, 38.0547, 38.053) * CHOOSE(CONTROL!$C$15, $D$11, 100%, $F$11)</f>
        <v>38.054699999999997</v>
      </c>
      <c r="I1017" s="8">
        <f>CHOOSE( CONTROL!$C$32, 36.5653, 36.5637) * CHOOSE(CONTROL!$C$15, $D$11, 100%, $F$11)</f>
        <v>36.565300000000001</v>
      </c>
      <c r="J1017" s="4">
        <f>CHOOSE( CONTROL!$C$32, 36.4306, 36.429) * CHOOSE(CONTROL!$C$15, $D$11, 100%, $F$11)</f>
        <v>36.430599999999998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1.2927</v>
      </c>
      <c r="Q1017" s="9">
        <v>19.688099999999999</v>
      </c>
      <c r="R1017" s="9"/>
      <c r="S1017" s="11"/>
    </row>
    <row r="1018" spans="1:19" ht="15.75">
      <c r="A1018" s="13">
        <v>72136</v>
      </c>
      <c r="B1018" s="8">
        <f>CHOOSE( CONTROL!$C$32, 36.9456, 36.944) * CHOOSE(CONTROL!$C$15, $D$11, 100%, $F$11)</f>
        <v>36.945599999999999</v>
      </c>
      <c r="C1018" s="8">
        <f>CHOOSE( CONTROL!$C$32, 36.9536, 36.9519) * CHOOSE(CONTROL!$C$15, $D$11, 100%, $F$11)</f>
        <v>36.953600000000002</v>
      </c>
      <c r="D1018" s="8">
        <f>CHOOSE( CONTROL!$C$32, 36.9506, 36.9489) * CHOOSE( CONTROL!$C$15, $D$11, 100%, $F$11)</f>
        <v>36.950600000000001</v>
      </c>
      <c r="E1018" s="12">
        <f>CHOOSE( CONTROL!$C$32, 36.9505, 36.9488) * CHOOSE( CONTROL!$C$15, $D$11, 100%, $F$11)</f>
        <v>36.950499999999998</v>
      </c>
      <c r="F1018" s="4">
        <f>CHOOSE( CONTROL!$C$32, 37.6526, 37.6509) * CHOOSE(CONTROL!$C$15, $D$11, 100%, $F$11)</f>
        <v>37.6526</v>
      </c>
      <c r="G1018" s="8">
        <f>CHOOSE( CONTROL!$C$32, 36.5229, 36.5213) * CHOOSE( CONTROL!$C$15, $D$11, 100%, $F$11)</f>
        <v>36.5229</v>
      </c>
      <c r="H1018" s="4">
        <f>CHOOSE( CONTROL!$C$32, 37.4583, 37.4566) * CHOOSE(CONTROL!$C$15, $D$11, 100%, $F$11)</f>
        <v>37.458300000000001</v>
      </c>
      <c r="I1018" s="8">
        <f>CHOOSE( CONTROL!$C$32, 35.9801, 35.9785) * CHOOSE(CONTROL!$C$15, $D$11, 100%, $F$11)</f>
        <v>35.9801</v>
      </c>
      <c r="J1018" s="4">
        <f>CHOOSE( CONTROL!$C$32, 35.8449, 35.8433) * CHOOSE(CONTROL!$C$15, $D$11, 100%, $F$11)</f>
        <v>35.844900000000003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1.2509999999999999</v>
      </c>
      <c r="Q1018" s="9">
        <v>19.053000000000001</v>
      </c>
      <c r="R1018" s="9"/>
      <c r="S1018" s="11"/>
    </row>
    <row r="1019" spans="1:19" ht="15.75">
      <c r="A1019" s="13">
        <v>72167</v>
      </c>
      <c r="B1019" s="8">
        <f>CHOOSE( CONTROL!$C$32, 38.5348, 38.5332) * CHOOSE(CONTROL!$C$15, $D$11, 100%, $F$11)</f>
        <v>38.534799999999997</v>
      </c>
      <c r="C1019" s="8">
        <f>CHOOSE( CONTROL!$C$32, 38.5428, 38.5412) * CHOOSE(CONTROL!$C$15, $D$11, 100%, $F$11)</f>
        <v>38.5428</v>
      </c>
      <c r="D1019" s="8">
        <f>CHOOSE( CONTROL!$C$32, 38.54, 38.5384) * CHOOSE( CONTROL!$C$15, $D$11, 100%, $F$11)</f>
        <v>38.54</v>
      </c>
      <c r="E1019" s="12">
        <f>CHOOSE( CONTROL!$C$32, 38.5398, 38.5382) * CHOOSE( CONTROL!$C$15, $D$11, 100%, $F$11)</f>
        <v>38.5398</v>
      </c>
      <c r="F1019" s="4">
        <f>CHOOSE( CONTROL!$C$32, 39.2418, 39.2401) * CHOOSE(CONTROL!$C$15, $D$11, 100%, $F$11)</f>
        <v>39.241799999999998</v>
      </c>
      <c r="G1019" s="8">
        <f>CHOOSE( CONTROL!$C$32, 38.0937, 38.0921) * CHOOSE( CONTROL!$C$15, $D$11, 100%, $F$11)</f>
        <v>38.093699999999998</v>
      </c>
      <c r="H1019" s="4">
        <f>CHOOSE( CONTROL!$C$32, 39.0289, 39.0272) * CHOOSE(CONTROL!$C$15, $D$11, 100%, $F$11)</f>
        <v>39.0289</v>
      </c>
      <c r="I1019" s="8">
        <f>CHOOSE( CONTROL!$C$32, 37.524, 37.5224) * CHOOSE(CONTROL!$C$15, $D$11, 100%, $F$11)</f>
        <v>37.524000000000001</v>
      </c>
      <c r="J1019" s="4">
        <f>CHOOSE( CONTROL!$C$32, 37.3872, 37.3856) * CHOOSE(CONTROL!$C$15, $D$11, 100%, $F$11)</f>
        <v>37.3872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1.2927</v>
      </c>
      <c r="Q1019" s="9">
        <v>19.688099999999999</v>
      </c>
      <c r="R1019" s="9"/>
      <c r="S1019" s="11"/>
    </row>
    <row r="1020" spans="1:19" ht="15.75">
      <c r="A1020" s="13">
        <v>72198</v>
      </c>
      <c r="B1020" s="8">
        <f>CHOOSE( CONTROL!$C$32, 35.5612, 35.5596) * CHOOSE(CONTROL!$C$15, $D$11, 100%, $F$11)</f>
        <v>35.561199999999999</v>
      </c>
      <c r="C1020" s="8">
        <f>CHOOSE( CONTROL!$C$32, 35.5692, 35.5675) * CHOOSE(CONTROL!$C$15, $D$11, 100%, $F$11)</f>
        <v>35.569200000000002</v>
      </c>
      <c r="D1020" s="8">
        <f>CHOOSE( CONTROL!$C$32, 35.5665, 35.5648) * CHOOSE( CONTROL!$C$15, $D$11, 100%, $F$11)</f>
        <v>35.566499999999998</v>
      </c>
      <c r="E1020" s="12">
        <f>CHOOSE( CONTROL!$C$32, 35.5663, 35.5646) * CHOOSE( CONTROL!$C$15, $D$11, 100%, $F$11)</f>
        <v>35.566299999999998</v>
      </c>
      <c r="F1020" s="4">
        <f>CHOOSE( CONTROL!$C$32, 36.2682, 36.2665) * CHOOSE(CONTROL!$C$15, $D$11, 100%, $F$11)</f>
        <v>36.2682</v>
      </c>
      <c r="G1020" s="8">
        <f>CHOOSE( CONTROL!$C$32, 35.155, 35.1534) * CHOOSE( CONTROL!$C$15, $D$11, 100%, $F$11)</f>
        <v>35.155000000000001</v>
      </c>
      <c r="H1020" s="4">
        <f>CHOOSE( CONTROL!$C$32, 36.0901, 36.0884) * CHOOSE(CONTROL!$C$15, $D$11, 100%, $F$11)</f>
        <v>36.0901</v>
      </c>
      <c r="I1020" s="8">
        <f>CHOOSE( CONTROL!$C$32, 34.637, 34.6354) * CHOOSE(CONTROL!$C$15, $D$11, 100%, $F$11)</f>
        <v>34.637</v>
      </c>
      <c r="J1020" s="4">
        <f>CHOOSE( CONTROL!$C$32, 34.5013, 34.4997) * CHOOSE(CONTROL!$C$15, $D$11, 100%, $F$11)</f>
        <v>34.501300000000001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1.2927</v>
      </c>
      <c r="Q1020" s="9">
        <v>19.688099999999999</v>
      </c>
      <c r="R1020" s="9"/>
      <c r="S1020" s="11"/>
    </row>
    <row r="1021" spans="1:19" ht="15.75">
      <c r="A1021" s="13">
        <v>72228</v>
      </c>
      <c r="B1021" s="8">
        <f>CHOOSE( CONTROL!$C$32, 34.8166, 34.8149) * CHOOSE(CONTROL!$C$15, $D$11, 100%, $F$11)</f>
        <v>34.816600000000001</v>
      </c>
      <c r="C1021" s="8">
        <f>CHOOSE( CONTROL!$C$32, 34.8246, 34.8229) * CHOOSE(CONTROL!$C$15, $D$11, 100%, $F$11)</f>
        <v>34.824599999999997</v>
      </c>
      <c r="D1021" s="8">
        <f>CHOOSE( CONTROL!$C$32, 34.8218, 34.8202) * CHOOSE( CONTROL!$C$15, $D$11, 100%, $F$11)</f>
        <v>34.821800000000003</v>
      </c>
      <c r="E1021" s="12">
        <f>CHOOSE( CONTROL!$C$32, 34.8216, 34.82) * CHOOSE( CONTROL!$C$15, $D$11, 100%, $F$11)</f>
        <v>34.821599999999997</v>
      </c>
      <c r="F1021" s="4">
        <f>CHOOSE( CONTROL!$C$32, 35.5235, 35.5219) * CHOOSE(CONTROL!$C$15, $D$11, 100%, $F$11)</f>
        <v>35.523499999999999</v>
      </c>
      <c r="G1021" s="8">
        <f>CHOOSE( CONTROL!$C$32, 34.4191, 34.4174) * CHOOSE( CONTROL!$C$15, $D$11, 100%, $F$11)</f>
        <v>34.4191</v>
      </c>
      <c r="H1021" s="4">
        <f>CHOOSE( CONTROL!$C$32, 35.3542, 35.3525) * CHOOSE(CONTROL!$C$15, $D$11, 100%, $F$11)</f>
        <v>35.354199999999999</v>
      </c>
      <c r="I1021" s="8">
        <f>CHOOSE( CONTROL!$C$32, 33.9138, 33.9122) * CHOOSE(CONTROL!$C$15, $D$11, 100%, $F$11)</f>
        <v>33.913800000000002</v>
      </c>
      <c r="J1021" s="4">
        <f>CHOOSE( CONTROL!$C$32, 33.7787, 33.7771) * CHOOSE(CONTROL!$C$15, $D$11, 100%, $F$11)</f>
        <v>33.778700000000001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1.2509999999999999</v>
      </c>
      <c r="Q1021" s="9">
        <v>19.053000000000001</v>
      </c>
      <c r="R1021" s="9"/>
      <c r="S1021" s="11"/>
    </row>
    <row r="1022" spans="1:19" ht="15.75">
      <c r="A1022" s="13">
        <v>72259</v>
      </c>
      <c r="B1022" s="8">
        <f>CHOOSE( CONTROL!$C$32, 36.3604, 36.3593) * CHOOSE(CONTROL!$C$15, $D$11, 100%, $F$11)</f>
        <v>36.360399999999998</v>
      </c>
      <c r="C1022" s="8">
        <f>CHOOSE( CONTROL!$C$32, 36.3657, 36.3646) * CHOOSE(CONTROL!$C$15, $D$11, 100%, $F$11)</f>
        <v>36.365699999999997</v>
      </c>
      <c r="D1022" s="8">
        <f>CHOOSE( CONTROL!$C$32, 36.3686, 36.3676) * CHOOSE( CONTROL!$C$15, $D$11, 100%, $F$11)</f>
        <v>36.368600000000001</v>
      </c>
      <c r="E1022" s="12">
        <f>CHOOSE( CONTROL!$C$32, 36.3671, 36.366) * CHOOSE( CONTROL!$C$15, $D$11, 100%, $F$11)</f>
        <v>36.367100000000001</v>
      </c>
      <c r="F1022" s="4">
        <f>CHOOSE( CONTROL!$C$32, 37.0691, 37.068) * CHOOSE(CONTROL!$C$15, $D$11, 100%, $F$11)</f>
        <v>37.069099999999999</v>
      </c>
      <c r="G1022" s="8">
        <f>CHOOSE( CONTROL!$C$32, 35.9467, 35.9456) * CHOOSE( CONTROL!$C$15, $D$11, 100%, $F$11)</f>
        <v>35.9467</v>
      </c>
      <c r="H1022" s="4">
        <f>CHOOSE( CONTROL!$C$32, 36.8816, 36.8805) * CHOOSE(CONTROL!$C$15, $D$11, 100%, $F$11)</f>
        <v>36.881599999999999</v>
      </c>
      <c r="I1022" s="8">
        <f>CHOOSE( CONTROL!$C$32, 35.4153, 35.4143) * CHOOSE(CONTROL!$C$15, $D$11, 100%, $F$11)</f>
        <v>35.415300000000002</v>
      </c>
      <c r="J1022" s="4">
        <f>CHOOSE( CONTROL!$C$32, 35.2786, 35.2776) * CHOOSE(CONTROL!$C$15, $D$11, 100%, $F$11)</f>
        <v>35.278599999999997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1.2927</v>
      </c>
      <c r="Q1022" s="9">
        <v>19.688099999999999</v>
      </c>
      <c r="R1022" s="9"/>
      <c r="S1022" s="11"/>
    </row>
    <row r="1023" spans="1:19" ht="15.75">
      <c r="A1023" s="13">
        <v>72289</v>
      </c>
      <c r="B1023" s="8">
        <f>CHOOSE( CONTROL!$C$32, 39.2138, 39.2127) * CHOOSE(CONTROL!$C$15, $D$11, 100%, $F$11)</f>
        <v>39.213799999999999</v>
      </c>
      <c r="C1023" s="8">
        <f>CHOOSE( CONTROL!$C$32, 39.2189, 39.2178) * CHOOSE(CONTROL!$C$15, $D$11, 100%, $F$11)</f>
        <v>39.218899999999998</v>
      </c>
      <c r="D1023" s="8">
        <f>CHOOSE( CONTROL!$C$32, 39.201, 39.2) * CHOOSE( CONTROL!$C$15, $D$11, 100%, $F$11)</f>
        <v>39.201000000000001</v>
      </c>
      <c r="E1023" s="12">
        <f>CHOOSE( CONTROL!$C$32, 39.207, 39.206) * CHOOSE( CONTROL!$C$15, $D$11, 100%, $F$11)</f>
        <v>39.207000000000001</v>
      </c>
      <c r="F1023" s="4">
        <f>CHOOSE( CONTROL!$C$32, 39.8791, 39.878) * CHOOSE(CONTROL!$C$15, $D$11, 100%, $F$11)</f>
        <v>39.879100000000001</v>
      </c>
      <c r="G1023" s="8">
        <f>CHOOSE( CONTROL!$C$32, 38.7661, 38.7651) * CHOOSE( CONTROL!$C$15, $D$11, 100%, $F$11)</f>
        <v>38.766100000000002</v>
      </c>
      <c r="H1023" s="4">
        <f>CHOOSE( CONTROL!$C$32, 39.6587, 39.6576) * CHOOSE(CONTROL!$C$15, $D$11, 100%, $F$11)</f>
        <v>39.658700000000003</v>
      </c>
      <c r="I1023" s="8">
        <f>CHOOSE( CONTROL!$C$32, 38.2481, 38.247) * CHOOSE(CONTROL!$C$15, $D$11, 100%, $F$11)</f>
        <v>38.248100000000001</v>
      </c>
      <c r="J1023" s="4">
        <f>CHOOSE( CONTROL!$C$32, 38.0482, 38.0472) * CHOOSE(CONTROL!$C$15, $D$11, 100%, $F$11)</f>
        <v>38.048200000000001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72320</v>
      </c>
      <c r="B1024" s="8">
        <f>CHOOSE( CONTROL!$C$32, 39.1425, 39.1414) * CHOOSE(CONTROL!$C$15, $D$11, 100%, $F$11)</f>
        <v>39.142499999999998</v>
      </c>
      <c r="C1024" s="8">
        <f>CHOOSE( CONTROL!$C$32, 39.1476, 39.1465) * CHOOSE(CONTROL!$C$15, $D$11, 100%, $F$11)</f>
        <v>39.147599999999997</v>
      </c>
      <c r="D1024" s="8">
        <f>CHOOSE( CONTROL!$C$32, 39.1312, 39.1301) * CHOOSE( CONTROL!$C$15, $D$11, 100%, $F$11)</f>
        <v>39.1312</v>
      </c>
      <c r="E1024" s="12">
        <f>CHOOSE( CONTROL!$C$32, 39.1367, 39.1356) * CHOOSE( CONTROL!$C$15, $D$11, 100%, $F$11)</f>
        <v>39.136699999999998</v>
      </c>
      <c r="F1024" s="4">
        <f>CHOOSE( CONTROL!$C$32, 39.8078, 39.8067) * CHOOSE(CONTROL!$C$15, $D$11, 100%, $F$11)</f>
        <v>39.8078</v>
      </c>
      <c r="G1024" s="8">
        <f>CHOOSE( CONTROL!$C$32, 38.6967, 38.6956) * CHOOSE( CONTROL!$C$15, $D$11, 100%, $F$11)</f>
        <v>38.6967</v>
      </c>
      <c r="H1024" s="4">
        <f>CHOOSE( CONTROL!$C$32, 39.5882, 39.5872) * CHOOSE(CONTROL!$C$15, $D$11, 100%, $F$11)</f>
        <v>39.588200000000001</v>
      </c>
      <c r="I1024" s="8">
        <f>CHOOSE( CONTROL!$C$32, 38.1833, 38.1823) * CHOOSE(CONTROL!$C$15, $D$11, 100%, $F$11)</f>
        <v>38.183300000000003</v>
      </c>
      <c r="J1024" s="4">
        <f>CHOOSE( CONTROL!$C$32, 37.979, 37.978) * CHOOSE(CONTROL!$C$15, $D$11, 100%, $F$11)</f>
        <v>37.978999999999999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72351</v>
      </c>
      <c r="B1025" s="8">
        <f>CHOOSE( CONTROL!$C$32, 40.2968, 40.2957) * CHOOSE(CONTROL!$C$15, $D$11, 100%, $F$11)</f>
        <v>40.296799999999998</v>
      </c>
      <c r="C1025" s="8">
        <f>CHOOSE( CONTROL!$C$32, 40.3018, 40.3008) * CHOOSE(CONTROL!$C$15, $D$11, 100%, $F$11)</f>
        <v>40.3018</v>
      </c>
      <c r="D1025" s="8">
        <f>CHOOSE( CONTROL!$C$32, 40.2806, 40.2795) * CHOOSE( CONTROL!$C$15, $D$11, 100%, $F$11)</f>
        <v>40.2806</v>
      </c>
      <c r="E1025" s="12">
        <f>CHOOSE( CONTROL!$C$32, 40.2878, 40.2867) * CHOOSE( CONTROL!$C$15, $D$11, 100%, $F$11)</f>
        <v>40.287799999999997</v>
      </c>
      <c r="F1025" s="4">
        <f>CHOOSE( CONTROL!$C$32, 40.9621, 40.961) * CHOOSE(CONTROL!$C$15, $D$11, 100%, $F$11)</f>
        <v>40.9621</v>
      </c>
      <c r="G1025" s="8">
        <f>CHOOSE( CONTROL!$C$32, 39.827, 39.8259) * CHOOSE( CONTROL!$C$15, $D$11, 100%, $F$11)</f>
        <v>39.826999999999998</v>
      </c>
      <c r="H1025" s="4">
        <f>CHOOSE( CONTROL!$C$32, 40.729, 40.7279) * CHOOSE(CONTROL!$C$15, $D$11, 100%, $F$11)</f>
        <v>40.728999999999999</v>
      </c>
      <c r="I1025" s="8">
        <f>CHOOSE( CONTROL!$C$32, 39.2662, 39.2651) * CHOOSE(CONTROL!$C$15, $D$11, 100%, $F$11)</f>
        <v>39.266199999999998</v>
      </c>
      <c r="J1025" s="4">
        <f>CHOOSE( CONTROL!$C$32, 39.0993, 39.0982) * CHOOSE(CONTROL!$C$15, $D$11, 100%, $F$11)</f>
        <v>39.099299999999999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72379</v>
      </c>
      <c r="B1026" s="8">
        <f>CHOOSE( CONTROL!$C$32, 37.6923, 37.6912) * CHOOSE(CONTROL!$C$15, $D$11, 100%, $F$11)</f>
        <v>37.692300000000003</v>
      </c>
      <c r="C1026" s="8">
        <f>CHOOSE( CONTROL!$C$32, 37.6974, 37.6963) * CHOOSE(CONTROL!$C$15, $D$11, 100%, $F$11)</f>
        <v>37.697400000000002</v>
      </c>
      <c r="D1026" s="8">
        <f>CHOOSE( CONTROL!$C$32, 37.676, 37.6749) * CHOOSE( CONTROL!$C$15, $D$11, 100%, $F$11)</f>
        <v>37.676000000000002</v>
      </c>
      <c r="E1026" s="12">
        <f>CHOOSE( CONTROL!$C$32, 37.6833, 37.6822) * CHOOSE( CONTROL!$C$15, $D$11, 100%, $F$11)</f>
        <v>37.683300000000003</v>
      </c>
      <c r="F1026" s="4">
        <f>CHOOSE( CONTROL!$C$32, 38.3576, 38.3565) * CHOOSE(CONTROL!$C$15, $D$11, 100%, $F$11)</f>
        <v>38.357599999999998</v>
      </c>
      <c r="G1026" s="8">
        <f>CHOOSE( CONTROL!$C$32, 37.2529, 37.2519) * CHOOSE( CONTROL!$C$15, $D$11, 100%, $F$11)</f>
        <v>37.252899999999997</v>
      </c>
      <c r="H1026" s="4">
        <f>CHOOSE( CONTROL!$C$32, 38.155, 38.154) * CHOOSE(CONTROL!$C$15, $D$11, 100%, $F$11)</f>
        <v>38.155000000000001</v>
      </c>
      <c r="I1026" s="8">
        <f>CHOOSE( CONTROL!$C$32, 36.7369, 36.7358) * CHOOSE(CONTROL!$C$15, $D$11, 100%, $F$11)</f>
        <v>36.736899999999999</v>
      </c>
      <c r="J1026" s="4">
        <f>CHOOSE( CONTROL!$C$32, 36.5716, 36.5706) * CHOOSE(CONTROL!$C$15, $D$11, 100%, $F$11)</f>
        <v>36.571599999999997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72410</v>
      </c>
      <c r="B1027" s="8">
        <f>CHOOSE( CONTROL!$C$32, 36.8901, 36.8891) * CHOOSE(CONTROL!$C$15, $D$11, 100%, $F$11)</f>
        <v>36.890099999999997</v>
      </c>
      <c r="C1027" s="8">
        <f>CHOOSE( CONTROL!$C$32, 36.8952, 36.8941) * CHOOSE(CONTROL!$C$15, $D$11, 100%, $F$11)</f>
        <v>36.895200000000003</v>
      </c>
      <c r="D1027" s="8">
        <f>CHOOSE( CONTROL!$C$32, 36.8732, 36.8721) * CHOOSE( CONTROL!$C$15, $D$11, 100%, $F$11)</f>
        <v>36.873199999999997</v>
      </c>
      <c r="E1027" s="12">
        <f>CHOOSE( CONTROL!$C$32, 36.8807, 36.8796) * CHOOSE( CONTROL!$C$15, $D$11, 100%, $F$11)</f>
        <v>36.880699999999997</v>
      </c>
      <c r="F1027" s="4">
        <f>CHOOSE( CONTROL!$C$32, 37.5554, 37.5543) * CHOOSE(CONTROL!$C$15, $D$11, 100%, $F$11)</f>
        <v>37.555399999999999</v>
      </c>
      <c r="G1027" s="8">
        <f>CHOOSE( CONTROL!$C$32, 36.4597, 36.4586) * CHOOSE( CONTROL!$C$15, $D$11, 100%, $F$11)</f>
        <v>36.459699999999998</v>
      </c>
      <c r="H1027" s="4">
        <f>CHOOSE( CONTROL!$C$32, 37.3623, 37.3612) * CHOOSE(CONTROL!$C$15, $D$11, 100%, $F$11)</f>
        <v>37.362299999999998</v>
      </c>
      <c r="I1027" s="8">
        <f>CHOOSE( CONTROL!$C$32, 35.956, 35.9549) * CHOOSE(CONTROL!$C$15, $D$11, 100%, $F$11)</f>
        <v>35.956000000000003</v>
      </c>
      <c r="J1027" s="4">
        <f>CHOOSE( CONTROL!$C$32, 35.7931, 35.7921) * CHOOSE(CONTROL!$C$15, $D$11, 100%, $F$11)</f>
        <v>35.793100000000003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72440</v>
      </c>
      <c r="B1028" s="8">
        <f>CHOOSE( CONTROL!$C$32, 37.4514, 37.4504) * CHOOSE(CONTROL!$C$15, $D$11, 100%, $F$11)</f>
        <v>37.4514</v>
      </c>
      <c r="C1028" s="8">
        <f>CHOOSE( CONTROL!$C$32, 37.4559, 37.4549) * CHOOSE(CONTROL!$C$15, $D$11, 100%, $F$11)</f>
        <v>37.4559</v>
      </c>
      <c r="D1028" s="8">
        <f>CHOOSE( CONTROL!$C$32, 37.4588, 37.4577) * CHOOSE( CONTROL!$C$15, $D$11, 100%, $F$11)</f>
        <v>37.458799999999997</v>
      </c>
      <c r="E1028" s="12">
        <f>CHOOSE( CONTROL!$C$32, 37.4573, 37.4563) * CHOOSE( CONTROL!$C$15, $D$11, 100%, $F$11)</f>
        <v>37.457299999999996</v>
      </c>
      <c r="F1028" s="4">
        <f>CHOOSE( CONTROL!$C$32, 38.1598, 38.1587) * CHOOSE(CONTROL!$C$15, $D$11, 100%, $F$11)</f>
        <v>38.159799999999997</v>
      </c>
      <c r="G1028" s="8">
        <f>CHOOSE( CONTROL!$C$32, 37.0241, 37.0231) * CHOOSE( CONTROL!$C$15, $D$11, 100%, $F$11)</f>
        <v>37.024099999999997</v>
      </c>
      <c r="H1028" s="4">
        <f>CHOOSE( CONTROL!$C$32, 37.9595, 37.9584) * CHOOSE(CONTROL!$C$15, $D$11, 100%, $F$11)</f>
        <v>37.959499999999998</v>
      </c>
      <c r="I1028" s="8">
        <f>CHOOSE( CONTROL!$C$32, 36.4725, 36.4715) * CHOOSE(CONTROL!$C$15, $D$11, 100%, $F$11)</f>
        <v>36.472499999999997</v>
      </c>
      <c r="J1028" s="4">
        <f>CHOOSE( CONTROL!$C$32, 36.3371, 36.3361) * CHOOSE(CONTROL!$C$15, $D$11, 100%, $F$11)</f>
        <v>36.3371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1.2509999999999999</v>
      </c>
      <c r="Q1028" s="9">
        <v>19.053000000000001</v>
      </c>
      <c r="R1028" s="9"/>
      <c r="S1028" s="11"/>
    </row>
    <row r="1029" spans="1:19" ht="15.75">
      <c r="A1029" s="13">
        <v>72471</v>
      </c>
      <c r="B1029" s="8">
        <f>CHOOSE( CONTROL!$C$32, 38.451, 38.4494) * CHOOSE(CONTROL!$C$15, $D$11, 100%, $F$11)</f>
        <v>38.451000000000001</v>
      </c>
      <c r="C1029" s="8">
        <f>CHOOSE( CONTROL!$C$32, 38.459, 38.4573) * CHOOSE(CONTROL!$C$15, $D$11, 100%, $F$11)</f>
        <v>38.459000000000003</v>
      </c>
      <c r="D1029" s="8">
        <f>CHOOSE( CONTROL!$C$32, 38.4557, 38.4541) * CHOOSE( CONTROL!$C$15, $D$11, 100%, $F$11)</f>
        <v>38.4557</v>
      </c>
      <c r="E1029" s="12">
        <f>CHOOSE( CONTROL!$C$32, 38.4557, 38.4541) * CHOOSE( CONTROL!$C$15, $D$11, 100%, $F$11)</f>
        <v>38.4557</v>
      </c>
      <c r="F1029" s="4">
        <f>CHOOSE( CONTROL!$C$32, 39.158, 39.1563) * CHOOSE(CONTROL!$C$15, $D$11, 100%, $F$11)</f>
        <v>39.158000000000001</v>
      </c>
      <c r="G1029" s="8">
        <f>CHOOSE( CONTROL!$C$32, 38.0105, 38.0089) * CHOOSE( CONTROL!$C$15, $D$11, 100%, $F$11)</f>
        <v>38.0105</v>
      </c>
      <c r="H1029" s="4">
        <f>CHOOSE( CONTROL!$C$32, 38.946, 38.9444) * CHOOSE(CONTROL!$C$15, $D$11, 100%, $F$11)</f>
        <v>38.945999999999998</v>
      </c>
      <c r="I1029" s="8">
        <f>CHOOSE( CONTROL!$C$32, 37.441, 37.4394) * CHOOSE(CONTROL!$C$15, $D$11, 100%, $F$11)</f>
        <v>37.441000000000003</v>
      </c>
      <c r="J1029" s="4">
        <f>CHOOSE( CONTROL!$C$32, 37.3059, 37.3043) * CHOOSE(CONTROL!$C$15, $D$11, 100%, $F$11)</f>
        <v>37.305900000000001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1.2927</v>
      </c>
      <c r="Q1029" s="9">
        <v>19.688099999999999</v>
      </c>
      <c r="R1029" s="9"/>
      <c r="S1029" s="11"/>
    </row>
    <row r="1030" spans="1:19" ht="15.75">
      <c r="A1030" s="13">
        <v>72501</v>
      </c>
      <c r="B1030" s="8">
        <f>CHOOSE( CONTROL!$C$32, 37.833, 37.8314) * CHOOSE(CONTROL!$C$15, $D$11, 100%, $F$11)</f>
        <v>37.832999999999998</v>
      </c>
      <c r="C1030" s="8">
        <f>CHOOSE( CONTROL!$C$32, 37.841, 37.8393) * CHOOSE(CONTROL!$C$15, $D$11, 100%, $F$11)</f>
        <v>37.841000000000001</v>
      </c>
      <c r="D1030" s="8">
        <f>CHOOSE( CONTROL!$C$32, 37.838, 37.8363) * CHOOSE( CONTROL!$C$15, $D$11, 100%, $F$11)</f>
        <v>37.838000000000001</v>
      </c>
      <c r="E1030" s="12">
        <f>CHOOSE( CONTROL!$C$32, 37.8379, 37.8362) * CHOOSE( CONTROL!$C$15, $D$11, 100%, $F$11)</f>
        <v>37.837899999999998</v>
      </c>
      <c r="F1030" s="4">
        <f>CHOOSE( CONTROL!$C$32, 38.54, 38.5383) * CHOOSE(CONTROL!$C$15, $D$11, 100%, $F$11)</f>
        <v>38.54</v>
      </c>
      <c r="G1030" s="8">
        <f>CHOOSE( CONTROL!$C$32, 37.3999, 37.3983) * CHOOSE( CONTROL!$C$15, $D$11, 100%, $F$11)</f>
        <v>37.399900000000002</v>
      </c>
      <c r="H1030" s="4">
        <f>CHOOSE( CONTROL!$C$32, 38.3353, 38.3336) * CHOOSE(CONTROL!$C$15, $D$11, 100%, $F$11)</f>
        <v>38.335299999999997</v>
      </c>
      <c r="I1030" s="8">
        <f>CHOOSE( CONTROL!$C$32, 36.8417, 36.8401) * CHOOSE(CONTROL!$C$15, $D$11, 100%, $F$11)</f>
        <v>36.841700000000003</v>
      </c>
      <c r="J1030" s="4">
        <f>CHOOSE( CONTROL!$C$32, 36.7061, 36.7045) * CHOOSE(CONTROL!$C$15, $D$11, 100%, $F$11)</f>
        <v>36.706099999999999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1.2509999999999999</v>
      </c>
      <c r="Q1030" s="9">
        <v>19.053000000000001</v>
      </c>
      <c r="R1030" s="9"/>
      <c r="S1030" s="11"/>
    </row>
    <row r="1031" spans="1:19" ht="15.75">
      <c r="A1031" s="13">
        <v>72532</v>
      </c>
      <c r="B1031" s="8">
        <f>CHOOSE( CONTROL!$C$32, 39.4604, 39.4588) * CHOOSE(CONTROL!$C$15, $D$11, 100%, $F$11)</f>
        <v>39.4604</v>
      </c>
      <c r="C1031" s="8">
        <f>CHOOSE( CONTROL!$C$32, 39.4684, 39.4667) * CHOOSE(CONTROL!$C$15, $D$11, 100%, $F$11)</f>
        <v>39.468400000000003</v>
      </c>
      <c r="D1031" s="8">
        <f>CHOOSE( CONTROL!$C$32, 39.4656, 39.464) * CHOOSE( CONTROL!$C$15, $D$11, 100%, $F$11)</f>
        <v>39.465600000000002</v>
      </c>
      <c r="E1031" s="12">
        <f>CHOOSE( CONTROL!$C$32, 39.4654, 39.4638) * CHOOSE( CONTROL!$C$15, $D$11, 100%, $F$11)</f>
        <v>39.465400000000002</v>
      </c>
      <c r="F1031" s="4">
        <f>CHOOSE( CONTROL!$C$32, 40.1674, 40.1657) * CHOOSE(CONTROL!$C$15, $D$11, 100%, $F$11)</f>
        <v>40.167400000000001</v>
      </c>
      <c r="G1031" s="8">
        <f>CHOOSE( CONTROL!$C$32, 39.0085, 39.0069) * CHOOSE( CONTROL!$C$15, $D$11, 100%, $F$11)</f>
        <v>39.008499999999998</v>
      </c>
      <c r="H1031" s="4">
        <f>CHOOSE( CONTROL!$C$32, 39.9436, 39.942) * CHOOSE(CONTROL!$C$15, $D$11, 100%, $F$11)</f>
        <v>39.943600000000004</v>
      </c>
      <c r="I1031" s="8">
        <f>CHOOSE( CONTROL!$C$32, 38.4228, 38.4212) * CHOOSE(CONTROL!$C$15, $D$11, 100%, $F$11)</f>
        <v>38.422800000000002</v>
      </c>
      <c r="J1031" s="4">
        <f>CHOOSE( CONTROL!$C$32, 38.2855, 38.2839) * CHOOSE(CONTROL!$C$15, $D$11, 100%, $F$11)</f>
        <v>38.285499999999999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1.2927</v>
      </c>
      <c r="Q1031" s="9">
        <v>19.688099999999999</v>
      </c>
      <c r="R1031" s="9"/>
      <c r="S1031" s="11"/>
    </row>
    <row r="1032" spans="1:19" ht="15.75">
      <c r="A1032" s="13">
        <v>72563</v>
      </c>
      <c r="B1032" s="8">
        <f>CHOOSE( CONTROL!$C$32, 36.4154, 36.4137) * CHOOSE(CONTROL!$C$15, $D$11, 100%, $F$11)</f>
        <v>36.415399999999998</v>
      </c>
      <c r="C1032" s="8">
        <f>CHOOSE( CONTROL!$C$32, 36.4233, 36.4217) * CHOOSE(CONTROL!$C$15, $D$11, 100%, $F$11)</f>
        <v>36.423299999999998</v>
      </c>
      <c r="D1032" s="8">
        <f>CHOOSE( CONTROL!$C$32, 36.4206, 36.419) * CHOOSE( CONTROL!$C$15, $D$11, 100%, $F$11)</f>
        <v>36.4206</v>
      </c>
      <c r="E1032" s="12">
        <f>CHOOSE( CONTROL!$C$32, 36.4204, 36.4188) * CHOOSE( CONTROL!$C$15, $D$11, 100%, $F$11)</f>
        <v>36.420400000000001</v>
      </c>
      <c r="F1032" s="4">
        <f>CHOOSE( CONTROL!$C$32, 37.1223, 37.1206) * CHOOSE(CONTROL!$C$15, $D$11, 100%, $F$11)</f>
        <v>37.122300000000003</v>
      </c>
      <c r="G1032" s="8">
        <f>CHOOSE( CONTROL!$C$32, 35.9992, 35.9975) * CHOOSE( CONTROL!$C$15, $D$11, 100%, $F$11)</f>
        <v>35.999200000000002</v>
      </c>
      <c r="H1032" s="4">
        <f>CHOOSE( CONTROL!$C$32, 36.9342, 36.9326) * CHOOSE(CONTROL!$C$15, $D$11, 100%, $F$11)</f>
        <v>36.934199999999997</v>
      </c>
      <c r="I1032" s="8">
        <f>CHOOSE( CONTROL!$C$32, 35.4664, 35.4648) * CHOOSE(CONTROL!$C$15, $D$11, 100%, $F$11)</f>
        <v>35.4664</v>
      </c>
      <c r="J1032" s="4">
        <f>CHOOSE( CONTROL!$C$32, 35.3303, 35.3287) * CHOOSE(CONTROL!$C$15, $D$11, 100%, $F$11)</f>
        <v>35.330300000000001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1.2927</v>
      </c>
      <c r="Q1032" s="9">
        <v>19.688099999999999</v>
      </c>
      <c r="R1032" s="9"/>
      <c r="S1032" s="11"/>
    </row>
    <row r="1033" spans="1:19" ht="15.75">
      <c r="A1033" s="13">
        <v>72593</v>
      </c>
      <c r="B1033" s="8">
        <f>CHOOSE( CONTROL!$C$32, 35.6528, 35.6512) * CHOOSE(CONTROL!$C$15, $D$11, 100%, $F$11)</f>
        <v>35.652799999999999</v>
      </c>
      <c r="C1033" s="8">
        <f>CHOOSE( CONTROL!$C$32, 35.6608, 35.6592) * CHOOSE(CONTROL!$C$15, $D$11, 100%, $F$11)</f>
        <v>35.660800000000002</v>
      </c>
      <c r="D1033" s="8">
        <f>CHOOSE( CONTROL!$C$32, 35.6581, 35.6564) * CHOOSE( CONTROL!$C$15, $D$11, 100%, $F$11)</f>
        <v>35.658099999999997</v>
      </c>
      <c r="E1033" s="12">
        <f>CHOOSE( CONTROL!$C$32, 35.6579, 35.6562) * CHOOSE( CONTROL!$C$15, $D$11, 100%, $F$11)</f>
        <v>35.657899999999998</v>
      </c>
      <c r="F1033" s="4">
        <f>CHOOSE( CONTROL!$C$32, 36.3598, 36.3581) * CHOOSE(CONTROL!$C$15, $D$11, 100%, $F$11)</f>
        <v>36.3598</v>
      </c>
      <c r="G1033" s="8">
        <f>CHOOSE( CONTROL!$C$32, 35.2455, 35.2439) * CHOOSE( CONTROL!$C$15, $D$11, 100%, $F$11)</f>
        <v>35.2455</v>
      </c>
      <c r="H1033" s="4">
        <f>CHOOSE( CONTROL!$C$32, 36.1806, 36.179) * CHOOSE(CONTROL!$C$15, $D$11, 100%, $F$11)</f>
        <v>36.180599999999998</v>
      </c>
      <c r="I1033" s="8">
        <f>CHOOSE( CONTROL!$C$32, 34.7258, 34.7242) * CHOOSE(CONTROL!$C$15, $D$11, 100%, $F$11)</f>
        <v>34.7258</v>
      </c>
      <c r="J1033" s="4">
        <f>CHOOSE( CONTROL!$C$32, 34.5903, 34.5887) * CHOOSE(CONTROL!$C$15, $D$11, 100%, $F$11)</f>
        <v>34.590299999999999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1.2509999999999999</v>
      </c>
      <c r="Q1033" s="9">
        <v>19.053000000000001</v>
      </c>
      <c r="R1033" s="9"/>
      <c r="S1033" s="11"/>
    </row>
    <row r="1034" spans="1:19" ht="15.75">
      <c r="A1034" s="13">
        <v>72624</v>
      </c>
      <c r="B1034" s="8">
        <f>CHOOSE( CONTROL!$C$32, 37.2338, 37.2327) * CHOOSE(CONTROL!$C$15, $D$11, 100%, $F$11)</f>
        <v>37.233800000000002</v>
      </c>
      <c r="C1034" s="8">
        <f>CHOOSE( CONTROL!$C$32, 37.2391, 37.238) * CHOOSE(CONTROL!$C$15, $D$11, 100%, $F$11)</f>
        <v>37.239100000000001</v>
      </c>
      <c r="D1034" s="8">
        <f>CHOOSE( CONTROL!$C$32, 37.242, 37.2409) * CHOOSE( CONTROL!$C$15, $D$11, 100%, $F$11)</f>
        <v>37.241999999999997</v>
      </c>
      <c r="E1034" s="12">
        <f>CHOOSE( CONTROL!$C$32, 37.2405, 37.2394) * CHOOSE( CONTROL!$C$15, $D$11, 100%, $F$11)</f>
        <v>37.240499999999997</v>
      </c>
      <c r="F1034" s="4">
        <f>CHOOSE( CONTROL!$C$32, 37.9425, 37.9414) * CHOOSE(CONTROL!$C$15, $D$11, 100%, $F$11)</f>
        <v>37.942500000000003</v>
      </c>
      <c r="G1034" s="8">
        <f>CHOOSE( CONTROL!$C$32, 36.8098, 36.8088) * CHOOSE( CONTROL!$C$15, $D$11, 100%, $F$11)</f>
        <v>36.809800000000003</v>
      </c>
      <c r="H1034" s="4">
        <f>CHOOSE( CONTROL!$C$32, 37.7448, 37.7437) * CHOOSE(CONTROL!$C$15, $D$11, 100%, $F$11)</f>
        <v>37.744799999999998</v>
      </c>
      <c r="I1034" s="8">
        <f>CHOOSE( CONTROL!$C$32, 36.2634, 36.2623) * CHOOSE(CONTROL!$C$15, $D$11, 100%, $F$11)</f>
        <v>36.263399999999997</v>
      </c>
      <c r="J1034" s="4">
        <f>CHOOSE( CONTROL!$C$32, 36.1263, 36.1252) * CHOOSE(CONTROL!$C$15, $D$11, 100%, $F$11)</f>
        <v>36.126300000000001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1.2927</v>
      </c>
      <c r="Q1034" s="9">
        <v>19.688099999999999</v>
      </c>
      <c r="R1034" s="9"/>
      <c r="S1034" s="11"/>
    </row>
    <row r="1035" spans="1:19" ht="15.75">
      <c r="A1035" s="13">
        <v>72654</v>
      </c>
      <c r="B1035" s="8">
        <f>CHOOSE( CONTROL!$C$32, 40.1558, 40.1547) * CHOOSE(CONTROL!$C$15, $D$11, 100%, $F$11)</f>
        <v>40.155799999999999</v>
      </c>
      <c r="C1035" s="8">
        <f>CHOOSE( CONTROL!$C$32, 40.1608, 40.1598) * CHOOSE(CONTROL!$C$15, $D$11, 100%, $F$11)</f>
        <v>40.160800000000002</v>
      </c>
      <c r="D1035" s="8">
        <f>CHOOSE( CONTROL!$C$32, 40.143, 40.1419) * CHOOSE( CONTROL!$C$15, $D$11, 100%, $F$11)</f>
        <v>40.143000000000001</v>
      </c>
      <c r="E1035" s="12">
        <f>CHOOSE( CONTROL!$C$32, 40.149, 40.1479) * CHOOSE( CONTROL!$C$15, $D$11, 100%, $F$11)</f>
        <v>40.149000000000001</v>
      </c>
      <c r="F1035" s="4">
        <f>CHOOSE( CONTROL!$C$32, 40.821, 40.82) * CHOOSE(CONTROL!$C$15, $D$11, 100%, $F$11)</f>
        <v>40.820999999999998</v>
      </c>
      <c r="G1035" s="8">
        <f>CHOOSE( CONTROL!$C$32, 39.6971, 39.696) * CHOOSE( CONTROL!$C$15, $D$11, 100%, $F$11)</f>
        <v>39.697099999999999</v>
      </c>
      <c r="H1035" s="4">
        <f>CHOOSE( CONTROL!$C$32, 40.5896, 40.5886) * CHOOSE(CONTROL!$C$15, $D$11, 100%, $F$11)</f>
        <v>40.589599999999997</v>
      </c>
      <c r="I1035" s="8">
        <f>CHOOSE( CONTROL!$C$32, 39.1627, 39.1617) * CHOOSE(CONTROL!$C$15, $D$11, 100%, $F$11)</f>
        <v>39.162700000000001</v>
      </c>
      <c r="J1035" s="4">
        <f>CHOOSE( CONTROL!$C$32, 38.9624, 38.9614) * CHOOSE(CONTROL!$C$15, $D$11, 100%, $F$11)</f>
        <v>38.962400000000002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72685</v>
      </c>
      <c r="B1036" s="8">
        <f>CHOOSE( CONTROL!$C$32, 40.0827, 40.0817) * CHOOSE(CONTROL!$C$15, $D$11, 100%, $F$11)</f>
        <v>40.082700000000003</v>
      </c>
      <c r="C1036" s="8">
        <f>CHOOSE( CONTROL!$C$32, 40.0878, 40.0867) * CHOOSE(CONTROL!$C$15, $D$11, 100%, $F$11)</f>
        <v>40.087800000000001</v>
      </c>
      <c r="D1036" s="8">
        <f>CHOOSE( CONTROL!$C$32, 40.0714, 40.0703) * CHOOSE( CONTROL!$C$15, $D$11, 100%, $F$11)</f>
        <v>40.071399999999997</v>
      </c>
      <c r="E1036" s="12">
        <f>CHOOSE( CONTROL!$C$32, 40.0769, 40.0758) * CHOOSE( CONTROL!$C$15, $D$11, 100%, $F$11)</f>
        <v>40.076900000000002</v>
      </c>
      <c r="F1036" s="4">
        <f>CHOOSE( CONTROL!$C$32, 40.748, 40.7469) * CHOOSE(CONTROL!$C$15, $D$11, 100%, $F$11)</f>
        <v>40.747999999999998</v>
      </c>
      <c r="G1036" s="8">
        <f>CHOOSE( CONTROL!$C$32, 39.626, 39.6249) * CHOOSE( CONTROL!$C$15, $D$11, 100%, $F$11)</f>
        <v>39.625999999999998</v>
      </c>
      <c r="H1036" s="4">
        <f>CHOOSE( CONTROL!$C$32, 40.5175, 40.5164) * CHOOSE(CONTROL!$C$15, $D$11, 100%, $F$11)</f>
        <v>40.517499999999998</v>
      </c>
      <c r="I1036" s="8">
        <f>CHOOSE( CONTROL!$C$32, 39.0963, 39.0952) * CHOOSE(CONTROL!$C$15, $D$11, 100%, $F$11)</f>
        <v>39.096299999999999</v>
      </c>
      <c r="J1036" s="4">
        <f>CHOOSE( CONTROL!$C$32, 38.8916, 38.8905) * CHOOSE(CONTROL!$C$15, $D$11, 100%, $F$11)</f>
        <v>38.891599999999997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72716</v>
      </c>
      <c r="B1037" s="8">
        <f>CHOOSE( CONTROL!$C$32, 41.2648, 41.2637) * CHOOSE(CONTROL!$C$15, $D$11, 100%, $F$11)</f>
        <v>41.264800000000001</v>
      </c>
      <c r="C1037" s="8">
        <f>CHOOSE( CONTROL!$C$32, 41.2698, 41.2688) * CHOOSE(CONTROL!$C$15, $D$11, 100%, $F$11)</f>
        <v>41.269799999999996</v>
      </c>
      <c r="D1037" s="8">
        <f>CHOOSE( CONTROL!$C$32, 41.2485, 41.2475) * CHOOSE( CONTROL!$C$15, $D$11, 100%, $F$11)</f>
        <v>41.2485</v>
      </c>
      <c r="E1037" s="12">
        <f>CHOOSE( CONTROL!$C$32, 41.2558, 41.2547) * CHOOSE( CONTROL!$C$15, $D$11, 100%, $F$11)</f>
        <v>41.255800000000001</v>
      </c>
      <c r="F1037" s="4">
        <f>CHOOSE( CONTROL!$C$32, 41.93, 41.929) * CHOOSE(CONTROL!$C$15, $D$11, 100%, $F$11)</f>
        <v>41.93</v>
      </c>
      <c r="G1037" s="8">
        <f>CHOOSE( CONTROL!$C$32, 40.7836, 40.7826) * CHOOSE( CONTROL!$C$15, $D$11, 100%, $F$11)</f>
        <v>40.7836</v>
      </c>
      <c r="H1037" s="4">
        <f>CHOOSE( CONTROL!$C$32, 41.6856, 41.6846) * CHOOSE(CONTROL!$C$15, $D$11, 100%, $F$11)</f>
        <v>41.685600000000001</v>
      </c>
      <c r="I1037" s="8">
        <f>CHOOSE( CONTROL!$C$32, 40.2061, 40.205) * CHOOSE(CONTROL!$C$15, $D$11, 100%, $F$11)</f>
        <v>40.206099999999999</v>
      </c>
      <c r="J1037" s="4">
        <f>CHOOSE( CONTROL!$C$32, 40.0387, 40.0376) * CHOOSE(CONTROL!$C$15, $D$11, 100%, $F$11)</f>
        <v>40.038699999999999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72744</v>
      </c>
      <c r="B1038" s="8">
        <f>CHOOSE( CONTROL!$C$32, 38.5977, 38.5966) * CHOOSE(CONTROL!$C$15, $D$11, 100%, $F$11)</f>
        <v>38.597700000000003</v>
      </c>
      <c r="C1038" s="8">
        <f>CHOOSE( CONTROL!$C$32, 38.6028, 38.6017) * CHOOSE(CONTROL!$C$15, $D$11, 100%, $F$11)</f>
        <v>38.602800000000002</v>
      </c>
      <c r="D1038" s="8">
        <f>CHOOSE( CONTROL!$C$32, 38.5814, 38.5803) * CHOOSE( CONTROL!$C$15, $D$11, 100%, $F$11)</f>
        <v>38.581400000000002</v>
      </c>
      <c r="E1038" s="12">
        <f>CHOOSE( CONTROL!$C$32, 38.5887, 38.5876) * CHOOSE( CONTROL!$C$15, $D$11, 100%, $F$11)</f>
        <v>38.588700000000003</v>
      </c>
      <c r="F1038" s="4">
        <f>CHOOSE( CONTROL!$C$32, 39.263, 39.2619) * CHOOSE(CONTROL!$C$15, $D$11, 100%, $F$11)</f>
        <v>39.262999999999998</v>
      </c>
      <c r="G1038" s="8">
        <f>CHOOSE( CONTROL!$C$32, 38.1477, 38.1467) * CHOOSE( CONTROL!$C$15, $D$11, 100%, $F$11)</f>
        <v>38.1477</v>
      </c>
      <c r="H1038" s="4">
        <f>CHOOSE( CONTROL!$C$32, 39.0498, 39.0488) * CHOOSE(CONTROL!$C$15, $D$11, 100%, $F$11)</f>
        <v>39.049799999999998</v>
      </c>
      <c r="I1038" s="8">
        <f>CHOOSE( CONTROL!$C$32, 37.616, 37.6149) * CHOOSE(CONTROL!$C$15, $D$11, 100%, $F$11)</f>
        <v>37.616</v>
      </c>
      <c r="J1038" s="4">
        <f>CHOOSE( CONTROL!$C$32, 37.4503, 37.4493) * CHOOSE(CONTROL!$C$15, $D$11, 100%, $F$11)</f>
        <v>37.450299999999999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72775</v>
      </c>
      <c r="B1039" s="8">
        <f>CHOOSE( CONTROL!$C$32, 37.7763, 37.7752) * CHOOSE(CONTROL!$C$15, $D$11, 100%, $F$11)</f>
        <v>37.776299999999999</v>
      </c>
      <c r="C1039" s="8">
        <f>CHOOSE( CONTROL!$C$32, 37.7814, 37.7803) * CHOOSE(CONTROL!$C$15, $D$11, 100%, $F$11)</f>
        <v>37.781399999999998</v>
      </c>
      <c r="D1039" s="8">
        <f>CHOOSE( CONTROL!$C$32, 37.7593, 37.7582) * CHOOSE( CONTROL!$C$15, $D$11, 100%, $F$11)</f>
        <v>37.759300000000003</v>
      </c>
      <c r="E1039" s="12">
        <f>CHOOSE( CONTROL!$C$32, 37.7668, 37.7657) * CHOOSE( CONTROL!$C$15, $D$11, 100%, $F$11)</f>
        <v>37.766800000000003</v>
      </c>
      <c r="F1039" s="4">
        <f>CHOOSE( CONTROL!$C$32, 38.4416, 38.4405) * CHOOSE(CONTROL!$C$15, $D$11, 100%, $F$11)</f>
        <v>38.441600000000001</v>
      </c>
      <c r="G1039" s="8">
        <f>CHOOSE( CONTROL!$C$32, 37.3355, 37.3344) * CHOOSE( CONTROL!$C$15, $D$11, 100%, $F$11)</f>
        <v>37.335500000000003</v>
      </c>
      <c r="H1039" s="4">
        <f>CHOOSE( CONTROL!$C$32, 38.238, 38.2369) * CHOOSE(CONTROL!$C$15, $D$11, 100%, $F$11)</f>
        <v>38.238</v>
      </c>
      <c r="I1039" s="8">
        <f>CHOOSE( CONTROL!$C$32, 36.8164, 36.8153) * CHOOSE(CONTROL!$C$15, $D$11, 100%, $F$11)</f>
        <v>36.816400000000002</v>
      </c>
      <c r="J1039" s="4">
        <f>CHOOSE( CONTROL!$C$32, 36.6531, 36.6521) * CHOOSE(CONTROL!$C$15, $D$11, 100%, $F$11)</f>
        <v>36.653100000000002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72805</v>
      </c>
      <c r="B1040" s="8">
        <f>CHOOSE( CONTROL!$C$32, 38.351, 38.35) * CHOOSE(CONTROL!$C$15, $D$11, 100%, $F$11)</f>
        <v>38.350999999999999</v>
      </c>
      <c r="C1040" s="8">
        <f>CHOOSE( CONTROL!$C$32, 38.3556, 38.3545) * CHOOSE(CONTROL!$C$15, $D$11, 100%, $F$11)</f>
        <v>38.355600000000003</v>
      </c>
      <c r="D1040" s="8">
        <f>CHOOSE( CONTROL!$C$32, 38.3584, 38.3573) * CHOOSE( CONTROL!$C$15, $D$11, 100%, $F$11)</f>
        <v>38.358400000000003</v>
      </c>
      <c r="E1040" s="12">
        <f>CHOOSE( CONTROL!$C$32, 38.357, 38.3559) * CHOOSE( CONTROL!$C$15, $D$11, 100%, $F$11)</f>
        <v>38.356999999999999</v>
      </c>
      <c r="F1040" s="4">
        <f>CHOOSE( CONTROL!$C$32, 39.0594, 39.0583) * CHOOSE(CONTROL!$C$15, $D$11, 100%, $F$11)</f>
        <v>39.059399999999997</v>
      </c>
      <c r="G1040" s="8">
        <f>CHOOSE( CONTROL!$C$32, 37.9132, 37.9121) * CHOOSE( CONTROL!$C$15, $D$11, 100%, $F$11)</f>
        <v>37.913200000000003</v>
      </c>
      <c r="H1040" s="4">
        <f>CHOOSE( CONTROL!$C$32, 38.8486, 38.8475) * CHOOSE(CONTROL!$C$15, $D$11, 100%, $F$11)</f>
        <v>38.848599999999998</v>
      </c>
      <c r="I1040" s="8">
        <f>CHOOSE( CONTROL!$C$32, 37.346, 37.345) * CHOOSE(CONTROL!$C$15, $D$11, 100%, $F$11)</f>
        <v>37.345999999999997</v>
      </c>
      <c r="J1040" s="4">
        <f>CHOOSE( CONTROL!$C$32, 37.2102, 37.2091) * CHOOSE(CONTROL!$C$15, $D$11, 100%, $F$11)</f>
        <v>37.2102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1.2509999999999999</v>
      </c>
      <c r="Q1040" s="9">
        <v>19.053000000000001</v>
      </c>
      <c r="R1040" s="9"/>
      <c r="S1040" s="11"/>
    </row>
    <row r="1041" spans="1:19" ht="15.75">
      <c r="A1041" s="13">
        <v>72836</v>
      </c>
      <c r="B1041" s="8">
        <f>CHOOSE( CONTROL!$C$32, 39.3746, 39.3729) * CHOOSE(CONTROL!$C$15, $D$11, 100%, $F$11)</f>
        <v>39.374600000000001</v>
      </c>
      <c r="C1041" s="8">
        <f>CHOOSE( CONTROL!$C$32, 39.3826, 39.3809) * CHOOSE(CONTROL!$C$15, $D$11, 100%, $F$11)</f>
        <v>39.382599999999996</v>
      </c>
      <c r="D1041" s="8">
        <f>CHOOSE( CONTROL!$C$32, 39.3793, 39.3776) * CHOOSE( CONTROL!$C$15, $D$11, 100%, $F$11)</f>
        <v>39.379300000000001</v>
      </c>
      <c r="E1041" s="12">
        <f>CHOOSE( CONTROL!$C$32, 39.3793, 39.3776) * CHOOSE( CONTROL!$C$15, $D$11, 100%, $F$11)</f>
        <v>39.379300000000001</v>
      </c>
      <c r="F1041" s="4">
        <f>CHOOSE( CONTROL!$C$32, 40.0815, 40.0799) * CHOOSE(CONTROL!$C$15, $D$11, 100%, $F$11)</f>
        <v>40.081499999999998</v>
      </c>
      <c r="G1041" s="8">
        <f>CHOOSE( CONTROL!$C$32, 38.9233, 38.9216) * CHOOSE( CONTROL!$C$15, $D$11, 100%, $F$11)</f>
        <v>38.923299999999998</v>
      </c>
      <c r="H1041" s="4">
        <f>CHOOSE( CONTROL!$C$32, 39.8588, 39.8571) * CHOOSE(CONTROL!$C$15, $D$11, 100%, $F$11)</f>
        <v>39.858800000000002</v>
      </c>
      <c r="I1041" s="8">
        <f>CHOOSE( CONTROL!$C$32, 38.3378, 38.3362) * CHOOSE(CONTROL!$C$15, $D$11, 100%, $F$11)</f>
        <v>38.337800000000001</v>
      </c>
      <c r="J1041" s="4">
        <f>CHOOSE( CONTROL!$C$32, 38.2022, 38.2006) * CHOOSE(CONTROL!$C$15, $D$11, 100%, $F$11)</f>
        <v>38.202199999999998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1.2927</v>
      </c>
      <c r="Q1041" s="9">
        <v>19.688099999999999</v>
      </c>
      <c r="R1041" s="9"/>
      <c r="S1041" s="11"/>
    </row>
    <row r="1042" spans="1:19" ht="15.75">
      <c r="A1042" s="13">
        <v>72866</v>
      </c>
      <c r="B1042" s="8">
        <f>CHOOSE( CONTROL!$C$32, 38.7417, 38.7401) * CHOOSE(CONTROL!$C$15, $D$11, 100%, $F$11)</f>
        <v>38.741700000000002</v>
      </c>
      <c r="C1042" s="8">
        <f>CHOOSE( CONTROL!$C$32, 38.7497, 38.7481) * CHOOSE(CONTROL!$C$15, $D$11, 100%, $F$11)</f>
        <v>38.749699999999997</v>
      </c>
      <c r="D1042" s="8">
        <f>CHOOSE( CONTROL!$C$32, 38.7467, 38.745) * CHOOSE( CONTROL!$C$15, $D$11, 100%, $F$11)</f>
        <v>38.746699999999997</v>
      </c>
      <c r="E1042" s="12">
        <f>CHOOSE( CONTROL!$C$32, 38.7466, 38.7449) * CHOOSE( CONTROL!$C$15, $D$11, 100%, $F$11)</f>
        <v>38.746600000000001</v>
      </c>
      <c r="F1042" s="4">
        <f>CHOOSE( CONTROL!$C$32, 39.4487, 39.447) * CHOOSE(CONTROL!$C$15, $D$11, 100%, $F$11)</f>
        <v>39.448700000000002</v>
      </c>
      <c r="G1042" s="8">
        <f>CHOOSE( CONTROL!$C$32, 38.298, 38.2964) * CHOOSE( CONTROL!$C$15, $D$11, 100%, $F$11)</f>
        <v>38.298000000000002</v>
      </c>
      <c r="H1042" s="4">
        <f>CHOOSE( CONTROL!$C$32, 39.2333, 39.2317) * CHOOSE(CONTROL!$C$15, $D$11, 100%, $F$11)</f>
        <v>39.2333</v>
      </c>
      <c r="I1042" s="8">
        <f>CHOOSE( CONTROL!$C$32, 37.7241, 37.7225) * CHOOSE(CONTROL!$C$15, $D$11, 100%, $F$11)</f>
        <v>37.7241</v>
      </c>
      <c r="J1042" s="4">
        <f>CHOOSE( CONTROL!$C$32, 37.588, 37.5864) * CHOOSE(CONTROL!$C$15, $D$11, 100%, $F$11)</f>
        <v>37.588000000000001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1.2509999999999999</v>
      </c>
      <c r="Q1042" s="9">
        <v>19.053000000000001</v>
      </c>
      <c r="R1042" s="9"/>
      <c r="S1042" s="11"/>
    </row>
    <row r="1043" spans="1:19" ht="15.75">
      <c r="A1043" s="13">
        <v>72897</v>
      </c>
      <c r="B1043" s="8">
        <f>CHOOSE( CONTROL!$C$32, 40.4083, 40.4066) * CHOOSE(CONTROL!$C$15, $D$11, 100%, $F$11)</f>
        <v>40.408299999999997</v>
      </c>
      <c r="C1043" s="8">
        <f>CHOOSE( CONTROL!$C$32, 40.4162, 40.4146) * CHOOSE(CONTROL!$C$15, $D$11, 100%, $F$11)</f>
        <v>40.416200000000003</v>
      </c>
      <c r="D1043" s="8">
        <f>CHOOSE( CONTROL!$C$32, 40.4134, 40.4118) * CHOOSE( CONTROL!$C$15, $D$11, 100%, $F$11)</f>
        <v>40.413400000000003</v>
      </c>
      <c r="E1043" s="12">
        <f>CHOOSE( CONTROL!$C$32, 40.4132, 40.4116) * CHOOSE( CONTROL!$C$15, $D$11, 100%, $F$11)</f>
        <v>40.413200000000003</v>
      </c>
      <c r="F1043" s="4">
        <f>CHOOSE( CONTROL!$C$32, 41.1152, 41.1135) * CHOOSE(CONTROL!$C$15, $D$11, 100%, $F$11)</f>
        <v>41.115200000000002</v>
      </c>
      <c r="G1043" s="8">
        <f>CHOOSE( CONTROL!$C$32, 39.9452, 39.9436) * CHOOSE( CONTROL!$C$15, $D$11, 100%, $F$11)</f>
        <v>39.9452</v>
      </c>
      <c r="H1043" s="4">
        <f>CHOOSE( CONTROL!$C$32, 40.8803, 40.8787) * CHOOSE(CONTROL!$C$15, $D$11, 100%, $F$11)</f>
        <v>40.880299999999998</v>
      </c>
      <c r="I1043" s="8">
        <f>CHOOSE( CONTROL!$C$32, 39.3431, 39.3415) * CHOOSE(CONTROL!$C$15, $D$11, 100%, $F$11)</f>
        <v>39.3431</v>
      </c>
      <c r="J1043" s="4">
        <f>CHOOSE( CONTROL!$C$32, 39.2054, 39.2038) * CHOOSE(CONTROL!$C$15, $D$11, 100%, $F$11)</f>
        <v>39.205399999999997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1.2927</v>
      </c>
      <c r="Q1043" s="9">
        <v>19.688099999999999</v>
      </c>
      <c r="R1043" s="9"/>
      <c r="S1043" s="11"/>
    </row>
    <row r="1044" spans="1:19" ht="15.75">
      <c r="A1044" s="13">
        <v>72928</v>
      </c>
      <c r="B1044" s="8">
        <f>CHOOSE( CONTROL!$C$32, 37.29, 37.2884) * CHOOSE(CONTROL!$C$15, $D$11, 100%, $F$11)</f>
        <v>37.29</v>
      </c>
      <c r="C1044" s="8">
        <f>CHOOSE( CONTROL!$C$32, 37.298, 37.2963) * CHOOSE(CONTROL!$C$15, $D$11, 100%, $F$11)</f>
        <v>37.298000000000002</v>
      </c>
      <c r="D1044" s="8">
        <f>CHOOSE( CONTROL!$C$32, 37.2953, 37.2936) * CHOOSE( CONTROL!$C$15, $D$11, 100%, $F$11)</f>
        <v>37.295299999999997</v>
      </c>
      <c r="E1044" s="12">
        <f>CHOOSE( CONTROL!$C$32, 37.2951, 37.2934) * CHOOSE( CONTROL!$C$15, $D$11, 100%, $F$11)</f>
        <v>37.295099999999998</v>
      </c>
      <c r="F1044" s="4">
        <f>CHOOSE( CONTROL!$C$32, 37.997, 37.9953) * CHOOSE(CONTROL!$C$15, $D$11, 100%, $F$11)</f>
        <v>37.997</v>
      </c>
      <c r="G1044" s="8">
        <f>CHOOSE( CONTROL!$C$32, 36.8636, 36.8619) * CHOOSE( CONTROL!$C$15, $D$11, 100%, $F$11)</f>
        <v>36.863599999999998</v>
      </c>
      <c r="H1044" s="4">
        <f>CHOOSE( CONTROL!$C$32, 37.7986, 37.797) * CHOOSE(CONTROL!$C$15, $D$11, 100%, $F$11)</f>
        <v>37.7986</v>
      </c>
      <c r="I1044" s="8">
        <f>CHOOSE( CONTROL!$C$32, 36.3157, 36.3141) * CHOOSE(CONTROL!$C$15, $D$11, 100%, $F$11)</f>
        <v>36.3157</v>
      </c>
      <c r="J1044" s="4">
        <f>CHOOSE( CONTROL!$C$32, 36.1791, 36.1775) * CHOOSE(CONTROL!$C$15, $D$11, 100%, $F$11)</f>
        <v>36.179099999999998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1.2927</v>
      </c>
      <c r="Q1044" s="9">
        <v>19.688099999999999</v>
      </c>
      <c r="R1044" s="9"/>
      <c r="S1044" s="11"/>
    </row>
    <row r="1045" spans="1:19" ht="15.75">
      <c r="A1045" s="13">
        <v>72958</v>
      </c>
      <c r="B1045" s="8">
        <f>CHOOSE( CONTROL!$C$32, 36.5092, 36.5075) * CHOOSE(CONTROL!$C$15, $D$11, 100%, $F$11)</f>
        <v>36.5092</v>
      </c>
      <c r="C1045" s="8">
        <f>CHOOSE( CONTROL!$C$32, 36.5172, 36.5155) * CHOOSE(CONTROL!$C$15, $D$11, 100%, $F$11)</f>
        <v>36.517200000000003</v>
      </c>
      <c r="D1045" s="8">
        <f>CHOOSE( CONTROL!$C$32, 36.5144, 36.5128) * CHOOSE( CONTROL!$C$15, $D$11, 100%, $F$11)</f>
        <v>36.514400000000002</v>
      </c>
      <c r="E1045" s="12">
        <f>CHOOSE( CONTROL!$C$32, 36.5142, 36.5126) * CHOOSE( CONTROL!$C$15, $D$11, 100%, $F$11)</f>
        <v>36.514200000000002</v>
      </c>
      <c r="F1045" s="4">
        <f>CHOOSE( CONTROL!$C$32, 37.2161, 37.2145) * CHOOSE(CONTROL!$C$15, $D$11, 100%, $F$11)</f>
        <v>37.216099999999997</v>
      </c>
      <c r="G1045" s="8">
        <f>CHOOSE( CONTROL!$C$32, 36.0918, 36.0902) * CHOOSE( CONTROL!$C$15, $D$11, 100%, $F$11)</f>
        <v>36.091799999999999</v>
      </c>
      <c r="H1045" s="4">
        <f>CHOOSE( CONTROL!$C$32, 37.0269, 37.0253) * CHOOSE(CONTROL!$C$15, $D$11, 100%, $F$11)</f>
        <v>37.026899999999998</v>
      </c>
      <c r="I1045" s="8">
        <f>CHOOSE( CONTROL!$C$32, 35.5573, 35.5557) * CHOOSE(CONTROL!$C$15, $D$11, 100%, $F$11)</f>
        <v>35.557299999999998</v>
      </c>
      <c r="J1045" s="4">
        <f>CHOOSE( CONTROL!$C$32, 35.4213, 35.4197) * CHOOSE(CONTROL!$C$15, $D$11, 100%, $F$11)</f>
        <v>35.421300000000002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1.2509999999999999</v>
      </c>
      <c r="Q1045" s="9">
        <v>19.053000000000001</v>
      </c>
      <c r="R1045" s="9"/>
      <c r="S1045" s="11"/>
    </row>
    <row r="1046" spans="1:19" ht="15.75">
      <c r="A1046" s="13">
        <v>72989</v>
      </c>
      <c r="B1046" s="8">
        <f>CHOOSE( CONTROL!$C$32, 38.1282, 38.1271) * CHOOSE(CONTROL!$C$15, $D$11, 100%, $F$11)</f>
        <v>38.1282</v>
      </c>
      <c r="C1046" s="8">
        <f>CHOOSE( CONTROL!$C$32, 38.1335, 38.1324) * CHOOSE(CONTROL!$C$15, $D$11, 100%, $F$11)</f>
        <v>38.133499999999998</v>
      </c>
      <c r="D1046" s="8">
        <f>CHOOSE( CONTROL!$C$32, 38.1364, 38.1353) * CHOOSE( CONTROL!$C$15, $D$11, 100%, $F$11)</f>
        <v>38.136400000000002</v>
      </c>
      <c r="E1046" s="12">
        <f>CHOOSE( CONTROL!$C$32, 38.1349, 38.1338) * CHOOSE( CONTROL!$C$15, $D$11, 100%, $F$11)</f>
        <v>38.134900000000002</v>
      </c>
      <c r="F1046" s="4">
        <f>CHOOSE( CONTROL!$C$32, 38.8368, 38.8358) * CHOOSE(CONTROL!$C$15, $D$11, 100%, $F$11)</f>
        <v>38.836799999999997</v>
      </c>
      <c r="G1046" s="8">
        <f>CHOOSE( CONTROL!$C$32, 37.6937, 37.6927) * CHOOSE( CONTROL!$C$15, $D$11, 100%, $F$11)</f>
        <v>37.6937</v>
      </c>
      <c r="H1046" s="4">
        <f>CHOOSE( CONTROL!$C$32, 38.6287, 38.6276) * CHOOSE(CONTROL!$C$15, $D$11, 100%, $F$11)</f>
        <v>38.628700000000002</v>
      </c>
      <c r="I1046" s="8">
        <f>CHOOSE( CONTROL!$C$32, 37.1318, 37.1308) * CHOOSE(CONTROL!$C$15, $D$11, 100%, $F$11)</f>
        <v>37.131799999999998</v>
      </c>
      <c r="J1046" s="4">
        <f>CHOOSE( CONTROL!$C$32, 36.9942, 36.9932) * CHOOSE(CONTROL!$C$15, $D$11, 100%, $F$11)</f>
        <v>36.994199999999999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1.2927</v>
      </c>
      <c r="Q1046" s="9">
        <v>19.688099999999999</v>
      </c>
      <c r="R1046" s="9"/>
      <c r="S1046" s="11"/>
    </row>
    <row r="1047" spans="1:19" ht="15.75">
      <c r="A1047" s="13">
        <v>73019</v>
      </c>
      <c r="B1047" s="8">
        <f>CHOOSE( CONTROL!$C$32, 41.1204, 41.1193) * CHOOSE(CONTROL!$C$15, $D$11, 100%, $F$11)</f>
        <v>41.120399999999997</v>
      </c>
      <c r="C1047" s="8">
        <f>CHOOSE( CONTROL!$C$32, 41.1254, 41.1244) * CHOOSE(CONTROL!$C$15, $D$11, 100%, $F$11)</f>
        <v>41.125399999999999</v>
      </c>
      <c r="D1047" s="8">
        <f>CHOOSE( CONTROL!$C$32, 41.1076, 41.1065) * CHOOSE( CONTROL!$C$15, $D$11, 100%, $F$11)</f>
        <v>41.107599999999998</v>
      </c>
      <c r="E1047" s="12">
        <f>CHOOSE( CONTROL!$C$32, 41.1136, 41.1125) * CHOOSE( CONTROL!$C$15, $D$11, 100%, $F$11)</f>
        <v>41.113599999999998</v>
      </c>
      <c r="F1047" s="4">
        <f>CHOOSE( CONTROL!$C$32, 41.7856, 41.7846) * CHOOSE(CONTROL!$C$15, $D$11, 100%, $F$11)</f>
        <v>41.785600000000002</v>
      </c>
      <c r="G1047" s="8">
        <f>CHOOSE( CONTROL!$C$32, 40.6504, 40.6493) * CHOOSE( CONTROL!$C$15, $D$11, 100%, $F$11)</f>
        <v>40.650399999999998</v>
      </c>
      <c r="H1047" s="4">
        <f>CHOOSE( CONTROL!$C$32, 41.5429, 41.5419) * CHOOSE(CONTROL!$C$15, $D$11, 100%, $F$11)</f>
        <v>41.542900000000003</v>
      </c>
      <c r="I1047" s="8">
        <f>CHOOSE( CONTROL!$C$32, 40.0993, 40.0983) * CHOOSE(CONTROL!$C$15, $D$11, 100%, $F$11)</f>
        <v>40.099299999999999</v>
      </c>
      <c r="J1047" s="4">
        <f>CHOOSE( CONTROL!$C$32, 39.8986, 39.8975) * CHOOSE(CONTROL!$C$15, $D$11, 100%, $F$11)</f>
        <v>39.898600000000002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73050</v>
      </c>
      <c r="B1048" s="8">
        <f>CHOOSE( CONTROL!$C$32, 41.0456, 41.0445) * CHOOSE(CONTROL!$C$15, $D$11, 100%, $F$11)</f>
        <v>41.0456</v>
      </c>
      <c r="C1048" s="8">
        <f>CHOOSE( CONTROL!$C$32, 41.0507, 41.0496) * CHOOSE(CONTROL!$C$15, $D$11, 100%, $F$11)</f>
        <v>41.050699999999999</v>
      </c>
      <c r="D1048" s="8">
        <f>CHOOSE( CONTROL!$C$32, 41.0343, 41.0332) * CHOOSE( CONTROL!$C$15, $D$11, 100%, $F$11)</f>
        <v>41.034300000000002</v>
      </c>
      <c r="E1048" s="12">
        <f>CHOOSE( CONTROL!$C$32, 41.0398, 41.0387) * CHOOSE( CONTROL!$C$15, $D$11, 100%, $F$11)</f>
        <v>41.0398</v>
      </c>
      <c r="F1048" s="4">
        <f>CHOOSE( CONTROL!$C$32, 41.7109, 41.7098) * CHOOSE(CONTROL!$C$15, $D$11, 100%, $F$11)</f>
        <v>41.710900000000002</v>
      </c>
      <c r="G1048" s="8">
        <f>CHOOSE( CONTROL!$C$32, 40.5775, 40.5764) * CHOOSE( CONTROL!$C$15, $D$11, 100%, $F$11)</f>
        <v>40.577500000000001</v>
      </c>
      <c r="H1048" s="4">
        <f>CHOOSE( CONTROL!$C$32, 41.469, 41.468) * CHOOSE(CONTROL!$C$15, $D$11, 100%, $F$11)</f>
        <v>41.469000000000001</v>
      </c>
      <c r="I1048" s="8">
        <f>CHOOSE( CONTROL!$C$32, 40.0312, 40.0301) * CHOOSE(CONTROL!$C$15, $D$11, 100%, $F$11)</f>
        <v>40.031199999999998</v>
      </c>
      <c r="J1048" s="4">
        <f>CHOOSE( CONTROL!$C$32, 39.826, 39.8249) * CHOOSE(CONTROL!$C$15, $D$11, 100%, $F$11)</f>
        <v>39.826000000000001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 ht="15.75">
      <c r="A1049" s="13">
        <v>73081</v>
      </c>
      <c r="B1049" s="8">
        <f>CHOOSE( CONTROL!$C$32, 42.256, 42.2549) * CHOOSE(CONTROL!$C$15, $D$11, 100%, $F$11)</f>
        <v>42.256</v>
      </c>
      <c r="C1049" s="8">
        <f>CHOOSE( CONTROL!$C$32, 42.2611, 42.26) * CHOOSE(CONTROL!$C$15, $D$11, 100%, $F$11)</f>
        <v>42.261099999999999</v>
      </c>
      <c r="D1049" s="8">
        <f>CHOOSE( CONTROL!$C$32, 42.2398, 42.2387) * CHOOSE( CONTROL!$C$15, $D$11, 100%, $F$11)</f>
        <v>42.239800000000002</v>
      </c>
      <c r="E1049" s="12">
        <f>CHOOSE( CONTROL!$C$32, 42.247, 42.2459) * CHOOSE( CONTROL!$C$15, $D$11, 100%, $F$11)</f>
        <v>42.247</v>
      </c>
      <c r="F1049" s="4">
        <f>CHOOSE( CONTROL!$C$32, 42.9213, 42.9202) * CHOOSE(CONTROL!$C$15, $D$11, 100%, $F$11)</f>
        <v>42.921300000000002</v>
      </c>
      <c r="G1049" s="8">
        <f>CHOOSE( CONTROL!$C$32, 41.7633, 41.7622) * CHOOSE( CONTROL!$C$15, $D$11, 100%, $F$11)</f>
        <v>41.763300000000001</v>
      </c>
      <c r="H1049" s="4">
        <f>CHOOSE( CONTROL!$C$32, 42.6653, 42.6642) * CHOOSE(CONTROL!$C$15, $D$11, 100%, $F$11)</f>
        <v>42.665300000000002</v>
      </c>
      <c r="I1049" s="8">
        <f>CHOOSE( CONTROL!$C$32, 41.1685, 41.1675) * CHOOSE(CONTROL!$C$15, $D$11, 100%, $F$11)</f>
        <v>41.168500000000002</v>
      </c>
      <c r="J1049" s="4">
        <f>CHOOSE( CONTROL!$C$32, 41.0007, 40.9996) * CHOOSE(CONTROL!$C$15, $D$11, 100%, $F$11)</f>
        <v>41.000700000000002</v>
      </c>
      <c r="K1049" s="4"/>
      <c r="L1049" s="9">
        <v>29.306000000000001</v>
      </c>
      <c r="M1049" s="9">
        <v>12.063700000000001</v>
      </c>
      <c r="N1049" s="9">
        <v>4.9444999999999997</v>
      </c>
      <c r="O1049" s="9">
        <v>0.37409999999999999</v>
      </c>
      <c r="P1049" s="9">
        <v>1.2927</v>
      </c>
      <c r="Q1049" s="9">
        <v>19.688099999999999</v>
      </c>
      <c r="R1049" s="9"/>
      <c r="S1049" s="11"/>
    </row>
    <row r="1050" spans="1:19" ht="15.75">
      <c r="A1050" s="13">
        <v>73109</v>
      </c>
      <c r="B1050" s="8">
        <f>CHOOSE( CONTROL!$C$32, 39.5249, 39.5238) * CHOOSE(CONTROL!$C$15, $D$11, 100%, $F$11)</f>
        <v>39.524900000000002</v>
      </c>
      <c r="C1050" s="8">
        <f>CHOOSE( CONTROL!$C$32, 39.53, 39.5289) * CHOOSE(CONTROL!$C$15, $D$11, 100%, $F$11)</f>
        <v>39.53</v>
      </c>
      <c r="D1050" s="8">
        <f>CHOOSE( CONTROL!$C$32, 39.5085, 39.5075) * CHOOSE( CONTROL!$C$15, $D$11, 100%, $F$11)</f>
        <v>39.508499999999998</v>
      </c>
      <c r="E1050" s="12">
        <f>CHOOSE( CONTROL!$C$32, 39.5158, 39.5148) * CHOOSE( CONTROL!$C$15, $D$11, 100%, $F$11)</f>
        <v>39.515799999999999</v>
      </c>
      <c r="F1050" s="4">
        <f>CHOOSE( CONTROL!$C$32, 40.1902, 40.1891) * CHOOSE(CONTROL!$C$15, $D$11, 100%, $F$11)</f>
        <v>40.190199999999997</v>
      </c>
      <c r="G1050" s="8">
        <f>CHOOSE( CONTROL!$C$32, 39.064, 39.063) * CHOOSE( CONTROL!$C$15, $D$11, 100%, $F$11)</f>
        <v>39.064</v>
      </c>
      <c r="H1050" s="4">
        <f>CHOOSE( CONTROL!$C$32, 39.9661, 39.9651) * CHOOSE(CONTROL!$C$15, $D$11, 100%, $F$11)</f>
        <v>39.966099999999997</v>
      </c>
      <c r="I1050" s="8">
        <f>CHOOSE( CONTROL!$C$32, 38.5163, 38.5152) * CHOOSE(CONTROL!$C$15, $D$11, 100%, $F$11)</f>
        <v>38.516300000000001</v>
      </c>
      <c r="J1050" s="4">
        <f>CHOOSE( CONTROL!$C$32, 38.3501, 38.3491) * CHOOSE(CONTROL!$C$15, $D$11, 100%, $F$11)</f>
        <v>38.350099999999998</v>
      </c>
      <c r="K1050" s="4"/>
      <c r="L1050" s="9">
        <v>26.469899999999999</v>
      </c>
      <c r="M1050" s="9">
        <v>10.8962</v>
      </c>
      <c r="N1050" s="9">
        <v>4.4660000000000002</v>
      </c>
      <c r="O1050" s="9">
        <v>0.33789999999999998</v>
      </c>
      <c r="P1050" s="9">
        <v>1.1676</v>
      </c>
      <c r="Q1050" s="9">
        <v>17.782800000000002</v>
      </c>
      <c r="R1050" s="9"/>
      <c r="S1050" s="11"/>
    </row>
    <row r="1051" spans="1:19" ht="15.75">
      <c r="A1051" s="13">
        <v>73140</v>
      </c>
      <c r="B1051" s="8">
        <f>CHOOSE( CONTROL!$C$32, 38.6837, 38.6826) * CHOOSE(CONTROL!$C$15, $D$11, 100%, $F$11)</f>
        <v>38.683700000000002</v>
      </c>
      <c r="C1051" s="8">
        <f>CHOOSE( CONTROL!$C$32, 38.6888, 38.6877) * CHOOSE(CONTROL!$C$15, $D$11, 100%, $F$11)</f>
        <v>38.688800000000001</v>
      </c>
      <c r="D1051" s="8">
        <f>CHOOSE( CONTROL!$C$32, 38.6667, 38.6656) * CHOOSE( CONTROL!$C$15, $D$11, 100%, $F$11)</f>
        <v>38.666699999999999</v>
      </c>
      <c r="E1051" s="12">
        <f>CHOOSE( CONTROL!$C$32, 38.6742, 38.6731) * CHOOSE( CONTROL!$C$15, $D$11, 100%, $F$11)</f>
        <v>38.674199999999999</v>
      </c>
      <c r="F1051" s="4">
        <f>CHOOSE( CONTROL!$C$32, 39.349, 39.3479) * CHOOSE(CONTROL!$C$15, $D$11, 100%, $F$11)</f>
        <v>39.348999999999997</v>
      </c>
      <c r="G1051" s="8">
        <f>CHOOSE( CONTROL!$C$32, 38.2323, 38.2312) * CHOOSE( CONTROL!$C$15, $D$11, 100%, $F$11)</f>
        <v>38.232300000000002</v>
      </c>
      <c r="H1051" s="4">
        <f>CHOOSE( CONTROL!$C$32, 39.1348, 39.1337) * CHOOSE(CONTROL!$C$15, $D$11, 100%, $F$11)</f>
        <v>39.134799999999998</v>
      </c>
      <c r="I1051" s="8">
        <f>CHOOSE( CONTROL!$C$32, 37.6975, 37.6964) * CHOOSE(CONTROL!$C$15, $D$11, 100%, $F$11)</f>
        <v>37.697499999999998</v>
      </c>
      <c r="J1051" s="4">
        <f>CHOOSE( CONTROL!$C$32, 37.5338, 37.5327) * CHOOSE(CONTROL!$C$15, $D$11, 100%, $F$11)</f>
        <v>37.533799999999999</v>
      </c>
      <c r="K1051" s="4"/>
      <c r="L1051" s="9">
        <v>29.306000000000001</v>
      </c>
      <c r="M1051" s="9">
        <v>12.063700000000001</v>
      </c>
      <c r="N1051" s="9">
        <v>4.9444999999999997</v>
      </c>
      <c r="O1051" s="9">
        <v>0.37409999999999999</v>
      </c>
      <c r="P1051" s="9">
        <v>1.2927</v>
      </c>
      <c r="Q1051" s="9">
        <v>19.688099999999999</v>
      </c>
      <c r="R1051" s="9"/>
      <c r="S1051" s="11"/>
    </row>
    <row r="1052" spans="1:19" ht="15.75">
      <c r="A1052" s="13">
        <v>73170</v>
      </c>
      <c r="B1052" s="8">
        <f>CHOOSE( CONTROL!$C$32, 39.2723, 39.2712) * CHOOSE(CONTROL!$C$15, $D$11, 100%, $F$11)</f>
        <v>39.272300000000001</v>
      </c>
      <c r="C1052" s="8">
        <f>CHOOSE( CONTROL!$C$32, 39.2768, 39.2757) * CHOOSE(CONTROL!$C$15, $D$11, 100%, $F$11)</f>
        <v>39.276800000000001</v>
      </c>
      <c r="D1052" s="8">
        <f>CHOOSE( CONTROL!$C$32, 39.2796, 39.2785) * CHOOSE( CONTROL!$C$15, $D$11, 100%, $F$11)</f>
        <v>39.279600000000002</v>
      </c>
      <c r="E1052" s="12">
        <f>CHOOSE( CONTROL!$C$32, 39.2782, 39.2771) * CHOOSE( CONTROL!$C$15, $D$11, 100%, $F$11)</f>
        <v>39.278199999999998</v>
      </c>
      <c r="F1052" s="4">
        <f>CHOOSE( CONTROL!$C$32, 39.9806, 39.9795) * CHOOSE(CONTROL!$C$15, $D$11, 100%, $F$11)</f>
        <v>39.980600000000003</v>
      </c>
      <c r="G1052" s="8">
        <f>CHOOSE( CONTROL!$C$32, 38.8236, 38.8226) * CHOOSE( CONTROL!$C$15, $D$11, 100%, $F$11)</f>
        <v>38.823599999999999</v>
      </c>
      <c r="H1052" s="4">
        <f>CHOOSE( CONTROL!$C$32, 39.759, 39.7579) * CHOOSE(CONTROL!$C$15, $D$11, 100%, $F$11)</f>
        <v>39.759</v>
      </c>
      <c r="I1052" s="8">
        <f>CHOOSE( CONTROL!$C$32, 38.2405, 38.2394) * CHOOSE(CONTROL!$C$15, $D$11, 100%, $F$11)</f>
        <v>38.240499999999997</v>
      </c>
      <c r="J1052" s="4">
        <f>CHOOSE( CONTROL!$C$32, 38.1042, 38.1032) * CHOOSE(CONTROL!$C$15, $D$11, 100%, $F$11)</f>
        <v>38.104199999999999</v>
      </c>
      <c r="K1052" s="4"/>
      <c r="L1052" s="9">
        <v>30.092199999999998</v>
      </c>
      <c r="M1052" s="9">
        <v>11.6745</v>
      </c>
      <c r="N1052" s="9">
        <v>4.7850000000000001</v>
      </c>
      <c r="O1052" s="9">
        <v>0.36199999999999999</v>
      </c>
      <c r="P1052" s="9">
        <v>1.2509999999999999</v>
      </c>
      <c r="Q1052" s="9">
        <v>19.053000000000001</v>
      </c>
      <c r="R1052" s="9"/>
      <c r="S1052" s="11"/>
    </row>
    <row r="1053" spans="1:19" ht="15.75">
      <c r="A1053" s="13">
        <v>73201</v>
      </c>
      <c r="B1053" s="8">
        <f>CHOOSE( CONTROL!$C$32, 40.3203, 40.3187) * CHOOSE(CONTROL!$C$15, $D$11, 100%, $F$11)</f>
        <v>40.320300000000003</v>
      </c>
      <c r="C1053" s="8">
        <f>CHOOSE( CONTROL!$C$32, 40.3283, 40.3267) * CHOOSE(CONTROL!$C$15, $D$11, 100%, $F$11)</f>
        <v>40.328299999999999</v>
      </c>
      <c r="D1053" s="8">
        <f>CHOOSE( CONTROL!$C$32, 40.3251, 40.3234) * CHOOSE( CONTROL!$C$15, $D$11, 100%, $F$11)</f>
        <v>40.325099999999999</v>
      </c>
      <c r="E1053" s="12">
        <f>CHOOSE( CONTROL!$C$32, 40.325, 40.3234) * CHOOSE( CONTROL!$C$15, $D$11, 100%, $F$11)</f>
        <v>40.325000000000003</v>
      </c>
      <c r="F1053" s="4">
        <f>CHOOSE( CONTROL!$C$32, 41.0273, 41.0256) * CHOOSE(CONTROL!$C$15, $D$11, 100%, $F$11)</f>
        <v>41.027299999999997</v>
      </c>
      <c r="G1053" s="8">
        <f>CHOOSE( CONTROL!$C$32, 39.858, 39.8563) * CHOOSE( CONTROL!$C$15, $D$11, 100%, $F$11)</f>
        <v>39.857999999999997</v>
      </c>
      <c r="H1053" s="4">
        <f>CHOOSE( CONTROL!$C$32, 40.7935, 40.7918) * CHOOSE(CONTROL!$C$15, $D$11, 100%, $F$11)</f>
        <v>40.793500000000002</v>
      </c>
      <c r="I1053" s="8">
        <f>CHOOSE( CONTROL!$C$32, 39.2561, 39.2545) * CHOOSE(CONTROL!$C$15, $D$11, 100%, $F$11)</f>
        <v>39.256100000000004</v>
      </c>
      <c r="J1053" s="4">
        <f>CHOOSE( CONTROL!$C$32, 39.1201, 39.1185) * CHOOSE(CONTROL!$C$15, $D$11, 100%, $F$11)</f>
        <v>39.120100000000001</v>
      </c>
      <c r="K1053" s="4"/>
      <c r="L1053" s="9">
        <v>30.7165</v>
      </c>
      <c r="M1053" s="9">
        <v>12.063700000000001</v>
      </c>
      <c r="N1053" s="9">
        <v>4.9444999999999997</v>
      </c>
      <c r="O1053" s="9">
        <v>0.37409999999999999</v>
      </c>
      <c r="P1053" s="9">
        <v>1.2927</v>
      </c>
      <c r="Q1053" s="9">
        <v>19.688099999999999</v>
      </c>
      <c r="R1053" s="9"/>
      <c r="S1053" s="11"/>
    </row>
    <row r="1054" spans="1:19" ht="15.75">
      <c r="A1054" s="13">
        <v>73231</v>
      </c>
      <c r="B1054" s="8">
        <f>CHOOSE( CONTROL!$C$32, 39.6723, 39.6706) * CHOOSE(CONTROL!$C$15, $D$11, 100%, $F$11)</f>
        <v>39.6723</v>
      </c>
      <c r="C1054" s="8">
        <f>CHOOSE( CONTROL!$C$32, 39.6803, 39.6786) * CHOOSE(CONTROL!$C$15, $D$11, 100%, $F$11)</f>
        <v>39.680300000000003</v>
      </c>
      <c r="D1054" s="8">
        <f>CHOOSE( CONTROL!$C$32, 39.6772, 39.6756) * CHOOSE( CONTROL!$C$15, $D$11, 100%, $F$11)</f>
        <v>39.677199999999999</v>
      </c>
      <c r="E1054" s="12">
        <f>CHOOSE( CONTROL!$C$32, 39.6771, 39.6755) * CHOOSE( CONTROL!$C$15, $D$11, 100%, $F$11)</f>
        <v>39.677100000000003</v>
      </c>
      <c r="F1054" s="4">
        <f>CHOOSE( CONTROL!$C$32, 40.3792, 40.3776) * CHOOSE(CONTROL!$C$15, $D$11, 100%, $F$11)</f>
        <v>40.379199999999997</v>
      </c>
      <c r="G1054" s="8">
        <f>CHOOSE( CONTROL!$C$32, 39.2177, 39.216) * CHOOSE( CONTROL!$C$15, $D$11, 100%, $F$11)</f>
        <v>39.217700000000001</v>
      </c>
      <c r="H1054" s="4">
        <f>CHOOSE( CONTROL!$C$32, 40.153, 40.1514) * CHOOSE(CONTROL!$C$15, $D$11, 100%, $F$11)</f>
        <v>40.152999999999999</v>
      </c>
      <c r="I1054" s="8">
        <f>CHOOSE( CONTROL!$C$32, 38.6276, 38.626) * CHOOSE(CONTROL!$C$15, $D$11, 100%, $F$11)</f>
        <v>38.627600000000001</v>
      </c>
      <c r="J1054" s="4">
        <f>CHOOSE( CONTROL!$C$32, 38.4911, 38.4895) * CHOOSE(CONTROL!$C$15, $D$11, 100%, $F$11)</f>
        <v>38.491100000000003</v>
      </c>
      <c r="K1054" s="4"/>
      <c r="L1054" s="9">
        <v>29.7257</v>
      </c>
      <c r="M1054" s="9">
        <v>11.6745</v>
      </c>
      <c r="N1054" s="9">
        <v>4.7850000000000001</v>
      </c>
      <c r="O1054" s="9">
        <v>0.36199999999999999</v>
      </c>
      <c r="P1054" s="9">
        <v>1.2509999999999999</v>
      </c>
      <c r="Q1054" s="9">
        <v>19.053000000000001</v>
      </c>
      <c r="R1054" s="9"/>
      <c r="S1054" s="11"/>
    </row>
    <row r="1055" spans="1:19" ht="15.75">
      <c r="A1055" s="13">
        <v>73262</v>
      </c>
      <c r="B1055" s="8">
        <f>CHOOSE( CONTROL!$C$32, 41.3789, 41.3772) * CHOOSE(CONTROL!$C$15, $D$11, 100%, $F$11)</f>
        <v>41.378900000000002</v>
      </c>
      <c r="C1055" s="8">
        <f>CHOOSE( CONTROL!$C$32, 41.3868, 41.3852) * CHOOSE(CONTROL!$C$15, $D$11, 100%, $F$11)</f>
        <v>41.386800000000001</v>
      </c>
      <c r="D1055" s="8">
        <f>CHOOSE( CONTROL!$C$32, 41.384, 41.3824) * CHOOSE( CONTROL!$C$15, $D$11, 100%, $F$11)</f>
        <v>41.384</v>
      </c>
      <c r="E1055" s="12">
        <f>CHOOSE( CONTROL!$C$32, 41.3838, 41.3822) * CHOOSE( CONTROL!$C$15, $D$11, 100%, $F$11)</f>
        <v>41.383800000000001</v>
      </c>
      <c r="F1055" s="4">
        <f>CHOOSE( CONTROL!$C$32, 42.0858, 42.0841) * CHOOSE(CONTROL!$C$15, $D$11, 100%, $F$11)</f>
        <v>42.085799999999999</v>
      </c>
      <c r="G1055" s="8">
        <f>CHOOSE( CONTROL!$C$32, 40.9045, 40.9028) * CHOOSE( CONTROL!$C$15, $D$11, 100%, $F$11)</f>
        <v>40.904499999999999</v>
      </c>
      <c r="H1055" s="4">
        <f>CHOOSE( CONTROL!$C$32, 41.8396, 41.8379) * CHOOSE(CONTROL!$C$15, $D$11, 100%, $F$11)</f>
        <v>41.839599999999997</v>
      </c>
      <c r="I1055" s="8">
        <f>CHOOSE( CONTROL!$C$32, 40.2855, 40.2839) * CHOOSE(CONTROL!$C$15, $D$11, 100%, $F$11)</f>
        <v>40.285499999999999</v>
      </c>
      <c r="J1055" s="4">
        <f>CHOOSE( CONTROL!$C$32, 40.1474, 40.1457) * CHOOSE(CONTROL!$C$15, $D$11, 100%, $F$11)</f>
        <v>40.147399999999998</v>
      </c>
      <c r="K1055" s="4"/>
      <c r="L1055" s="9">
        <v>30.7165</v>
      </c>
      <c r="M1055" s="9">
        <v>12.063700000000001</v>
      </c>
      <c r="N1055" s="9">
        <v>4.9444999999999997</v>
      </c>
      <c r="O1055" s="9">
        <v>0.37409999999999999</v>
      </c>
      <c r="P1055" s="9">
        <v>1.2927</v>
      </c>
      <c r="Q1055" s="9">
        <v>19.688099999999999</v>
      </c>
      <c r="R1055" s="9"/>
      <c r="S1055" s="11"/>
    </row>
    <row r="1056" spans="1:19" ht="15.75">
      <c r="A1056" s="13">
        <v>73293</v>
      </c>
      <c r="B1056" s="8">
        <f>CHOOSE( CONTROL!$C$32, 38.1857, 38.184) * CHOOSE(CONTROL!$C$15, $D$11, 100%, $F$11)</f>
        <v>38.185699999999997</v>
      </c>
      <c r="C1056" s="8">
        <f>CHOOSE( CONTROL!$C$32, 38.1937, 38.192) * CHOOSE(CONTROL!$C$15, $D$11, 100%, $F$11)</f>
        <v>38.1937</v>
      </c>
      <c r="D1056" s="8">
        <f>CHOOSE( CONTROL!$C$32, 38.191, 38.1893) * CHOOSE( CONTROL!$C$15, $D$11, 100%, $F$11)</f>
        <v>38.191000000000003</v>
      </c>
      <c r="E1056" s="12">
        <f>CHOOSE( CONTROL!$C$32, 38.1908, 38.1891) * CHOOSE( CONTROL!$C$15, $D$11, 100%, $F$11)</f>
        <v>38.190800000000003</v>
      </c>
      <c r="F1056" s="4">
        <f>CHOOSE( CONTROL!$C$32, 38.8926, 38.891) * CHOOSE(CONTROL!$C$15, $D$11, 100%, $F$11)</f>
        <v>38.892600000000002</v>
      </c>
      <c r="G1056" s="8">
        <f>CHOOSE( CONTROL!$C$32, 37.7488, 37.7471) * CHOOSE( CONTROL!$C$15, $D$11, 100%, $F$11)</f>
        <v>37.748800000000003</v>
      </c>
      <c r="H1056" s="4">
        <f>CHOOSE( CONTROL!$C$32, 38.6838, 38.6822) * CHOOSE(CONTROL!$C$15, $D$11, 100%, $F$11)</f>
        <v>38.683799999999998</v>
      </c>
      <c r="I1056" s="8">
        <f>CHOOSE( CONTROL!$C$32, 37.1854, 37.1838) * CHOOSE(CONTROL!$C$15, $D$11, 100%, $F$11)</f>
        <v>37.185400000000001</v>
      </c>
      <c r="J1056" s="4">
        <f>CHOOSE( CONTROL!$C$32, 37.0484, 37.0468) * CHOOSE(CONTROL!$C$15, $D$11, 100%, $F$11)</f>
        <v>37.048400000000001</v>
      </c>
      <c r="K1056" s="4"/>
      <c r="L1056" s="9">
        <v>30.7165</v>
      </c>
      <c r="M1056" s="9">
        <v>12.063700000000001</v>
      </c>
      <c r="N1056" s="9">
        <v>4.9444999999999997</v>
      </c>
      <c r="O1056" s="9">
        <v>0.37409999999999999</v>
      </c>
      <c r="P1056" s="9">
        <v>1.2927</v>
      </c>
      <c r="Q1056" s="9">
        <v>19.688099999999999</v>
      </c>
      <c r="R1056" s="9"/>
      <c r="S1056" s="11"/>
    </row>
    <row r="1057" spans="1:19" ht="15.75">
      <c r="A1057" s="13">
        <v>73323</v>
      </c>
      <c r="B1057" s="8">
        <f>CHOOSE( CONTROL!$C$32, 37.3861, 37.3844) * CHOOSE(CONTROL!$C$15, $D$11, 100%, $F$11)</f>
        <v>37.386099999999999</v>
      </c>
      <c r="C1057" s="8">
        <f>CHOOSE( CONTROL!$C$32, 37.3941, 37.3924) * CHOOSE(CONTROL!$C$15, $D$11, 100%, $F$11)</f>
        <v>37.394100000000002</v>
      </c>
      <c r="D1057" s="8">
        <f>CHOOSE( CONTROL!$C$32, 37.3913, 37.3897) * CHOOSE( CONTROL!$C$15, $D$11, 100%, $F$11)</f>
        <v>37.391300000000001</v>
      </c>
      <c r="E1057" s="12">
        <f>CHOOSE( CONTROL!$C$32, 37.3911, 37.3895) * CHOOSE( CONTROL!$C$15, $D$11, 100%, $F$11)</f>
        <v>37.391100000000002</v>
      </c>
      <c r="F1057" s="4">
        <f>CHOOSE( CONTROL!$C$32, 38.093, 38.0914) * CHOOSE(CONTROL!$C$15, $D$11, 100%, $F$11)</f>
        <v>38.093000000000004</v>
      </c>
      <c r="G1057" s="8">
        <f>CHOOSE( CONTROL!$C$32, 36.9585, 36.9569) * CHOOSE( CONTROL!$C$15, $D$11, 100%, $F$11)</f>
        <v>36.958500000000001</v>
      </c>
      <c r="H1057" s="4">
        <f>CHOOSE( CONTROL!$C$32, 37.8936, 37.8919) * CHOOSE(CONTROL!$C$15, $D$11, 100%, $F$11)</f>
        <v>37.893599999999999</v>
      </c>
      <c r="I1057" s="8">
        <f>CHOOSE( CONTROL!$C$32, 36.4088, 36.4072) * CHOOSE(CONTROL!$C$15, $D$11, 100%, $F$11)</f>
        <v>36.408799999999999</v>
      </c>
      <c r="J1057" s="4">
        <f>CHOOSE( CONTROL!$C$32, 36.2724, 36.2708) * CHOOSE(CONTROL!$C$15, $D$11, 100%, $F$11)</f>
        <v>36.272399999999998</v>
      </c>
      <c r="K1057" s="4"/>
      <c r="L1057" s="9">
        <v>29.7257</v>
      </c>
      <c r="M1057" s="9">
        <v>11.6745</v>
      </c>
      <c r="N1057" s="9">
        <v>4.7850000000000001</v>
      </c>
      <c r="O1057" s="9">
        <v>0.36199999999999999</v>
      </c>
      <c r="P1057" s="9">
        <v>1.2509999999999999</v>
      </c>
      <c r="Q1057" s="9">
        <v>19.053000000000001</v>
      </c>
      <c r="R1057" s="9"/>
      <c r="S1057" s="11"/>
    </row>
    <row r="1058" spans="1:19" ht="15.75">
      <c r="A1058" s="13">
        <v>73354</v>
      </c>
      <c r="B1058" s="8">
        <f>CHOOSE( CONTROL!$C$32, 39.044, 39.043) * CHOOSE(CONTROL!$C$15, $D$11, 100%, $F$11)</f>
        <v>39.043999999999997</v>
      </c>
      <c r="C1058" s="8">
        <f>CHOOSE( CONTROL!$C$32, 39.0494, 39.0483) * CHOOSE(CONTROL!$C$15, $D$11, 100%, $F$11)</f>
        <v>39.049399999999999</v>
      </c>
      <c r="D1058" s="8">
        <f>CHOOSE( CONTROL!$C$32, 39.0523, 39.0512) * CHOOSE( CONTROL!$C$15, $D$11, 100%, $F$11)</f>
        <v>39.052300000000002</v>
      </c>
      <c r="E1058" s="12">
        <f>CHOOSE( CONTROL!$C$32, 39.0508, 39.0497) * CHOOSE( CONTROL!$C$15, $D$11, 100%, $F$11)</f>
        <v>39.050800000000002</v>
      </c>
      <c r="F1058" s="4">
        <f>CHOOSE( CONTROL!$C$32, 39.7527, 39.7516) * CHOOSE(CONTROL!$C$15, $D$11, 100%, $F$11)</f>
        <v>39.752699999999997</v>
      </c>
      <c r="G1058" s="8">
        <f>CHOOSE( CONTROL!$C$32, 38.5989, 38.5978) * CHOOSE( CONTROL!$C$15, $D$11, 100%, $F$11)</f>
        <v>38.5989</v>
      </c>
      <c r="H1058" s="4">
        <f>CHOOSE( CONTROL!$C$32, 39.5338, 39.5327) * CHOOSE(CONTROL!$C$15, $D$11, 100%, $F$11)</f>
        <v>39.533799999999999</v>
      </c>
      <c r="I1058" s="8">
        <f>CHOOSE( CONTROL!$C$32, 38.0211, 38.0201) * CHOOSE(CONTROL!$C$15, $D$11, 100%, $F$11)</f>
        <v>38.021099999999997</v>
      </c>
      <c r="J1058" s="4">
        <f>CHOOSE( CONTROL!$C$32, 37.8831, 37.882) * CHOOSE(CONTROL!$C$15, $D$11, 100%, $F$11)</f>
        <v>37.883099999999999</v>
      </c>
      <c r="K1058" s="4"/>
      <c r="L1058" s="9">
        <v>31.095300000000002</v>
      </c>
      <c r="M1058" s="9">
        <v>12.063700000000001</v>
      </c>
      <c r="N1058" s="9">
        <v>4.9444999999999997</v>
      </c>
      <c r="O1058" s="9">
        <v>0.37409999999999999</v>
      </c>
      <c r="P1058" s="9">
        <v>1.2927</v>
      </c>
      <c r="Q1058" s="9">
        <v>19.688099999999999</v>
      </c>
      <c r="R1058" s="9"/>
      <c r="S1058" s="11"/>
    </row>
    <row r="1059" spans="1:19" ht="15.75">
      <c r="A1059" s="13">
        <v>73384</v>
      </c>
      <c r="B1059" s="8">
        <f>CHOOSE( CONTROL!$C$32, 42.1081, 42.107) * CHOOSE(CONTROL!$C$15, $D$11, 100%, $F$11)</f>
        <v>42.1081</v>
      </c>
      <c r="C1059" s="8">
        <f>CHOOSE( CONTROL!$C$32, 42.1132, 42.1121) * CHOOSE(CONTROL!$C$15, $D$11, 100%, $F$11)</f>
        <v>42.113199999999999</v>
      </c>
      <c r="D1059" s="8">
        <f>CHOOSE( CONTROL!$C$32, 42.0954, 42.0943) * CHOOSE( CONTROL!$C$15, $D$11, 100%, $F$11)</f>
        <v>42.095399999999998</v>
      </c>
      <c r="E1059" s="12">
        <f>CHOOSE( CONTROL!$C$32, 42.1014, 42.1003) * CHOOSE( CONTROL!$C$15, $D$11, 100%, $F$11)</f>
        <v>42.101399999999998</v>
      </c>
      <c r="F1059" s="4">
        <f>CHOOSE( CONTROL!$C$32, 42.7734, 42.7723) * CHOOSE(CONTROL!$C$15, $D$11, 100%, $F$11)</f>
        <v>42.773400000000002</v>
      </c>
      <c r="G1059" s="8">
        <f>CHOOSE( CONTROL!$C$32, 41.6266, 41.6255) * CHOOSE( CONTROL!$C$15, $D$11, 100%, $F$11)</f>
        <v>41.626600000000003</v>
      </c>
      <c r="H1059" s="4">
        <f>CHOOSE( CONTROL!$C$32, 42.5191, 42.5181) * CHOOSE(CONTROL!$C$15, $D$11, 100%, $F$11)</f>
        <v>42.519100000000002</v>
      </c>
      <c r="I1059" s="8">
        <f>CHOOSE( CONTROL!$C$32, 41.0584, 41.0574) * CHOOSE(CONTROL!$C$15, $D$11, 100%, $F$11)</f>
        <v>41.058399999999999</v>
      </c>
      <c r="J1059" s="4">
        <f>CHOOSE( CONTROL!$C$32, 40.8572, 40.8561) * CHOOSE(CONTROL!$C$15, $D$11, 100%, $F$11)</f>
        <v>40.857199999999999</v>
      </c>
      <c r="K1059" s="4"/>
      <c r="L1059" s="9">
        <v>28.360600000000002</v>
      </c>
      <c r="M1059" s="9">
        <v>11.6745</v>
      </c>
      <c r="N1059" s="9">
        <v>4.7850000000000001</v>
      </c>
      <c r="O1059" s="9">
        <v>0.36199999999999999</v>
      </c>
      <c r="P1059" s="9">
        <v>1.2509999999999999</v>
      </c>
      <c r="Q1059" s="9">
        <v>19.053000000000001</v>
      </c>
      <c r="R1059" s="9"/>
      <c r="S1059" s="11"/>
    </row>
    <row r="1060" spans="1:19" ht="15.75">
      <c r="A1060" s="13">
        <v>73415</v>
      </c>
      <c r="B1060" s="8">
        <f>CHOOSE( CONTROL!$C$32, 42.0316, 42.0305) * CHOOSE(CONTROL!$C$15, $D$11, 100%, $F$11)</f>
        <v>42.031599999999997</v>
      </c>
      <c r="C1060" s="8">
        <f>CHOOSE( CONTROL!$C$32, 42.0366, 42.0356) * CHOOSE(CONTROL!$C$15, $D$11, 100%, $F$11)</f>
        <v>42.0366</v>
      </c>
      <c r="D1060" s="8">
        <f>CHOOSE( CONTROL!$C$32, 42.0203, 42.0192) * CHOOSE( CONTROL!$C$15, $D$11, 100%, $F$11)</f>
        <v>42.020299999999999</v>
      </c>
      <c r="E1060" s="12">
        <f>CHOOSE( CONTROL!$C$32, 42.0257, 42.0247) * CHOOSE( CONTROL!$C$15, $D$11, 100%, $F$11)</f>
        <v>42.025700000000001</v>
      </c>
      <c r="F1060" s="4">
        <f>CHOOSE( CONTROL!$C$32, 42.6968, 42.6958) * CHOOSE(CONTROL!$C$15, $D$11, 100%, $F$11)</f>
        <v>42.696800000000003</v>
      </c>
      <c r="G1060" s="8">
        <f>CHOOSE( CONTROL!$C$32, 41.552, 41.5509) * CHOOSE( CONTROL!$C$15, $D$11, 100%, $F$11)</f>
        <v>41.552</v>
      </c>
      <c r="H1060" s="4">
        <f>CHOOSE( CONTROL!$C$32, 42.4435, 42.4424) * CHOOSE(CONTROL!$C$15, $D$11, 100%, $F$11)</f>
        <v>42.4435</v>
      </c>
      <c r="I1060" s="8">
        <f>CHOOSE( CONTROL!$C$32, 40.9886, 40.9875) * CHOOSE(CONTROL!$C$15, $D$11, 100%, $F$11)</f>
        <v>40.988599999999998</v>
      </c>
      <c r="J1060" s="4">
        <f>CHOOSE( CONTROL!$C$32, 40.7829, 40.7818) * CHOOSE(CONTROL!$C$15, $D$11, 100%, $F$11)</f>
        <v>40.782899999999998</v>
      </c>
      <c r="K1060" s="4"/>
      <c r="L1060" s="9">
        <v>29.306000000000001</v>
      </c>
      <c r="M1060" s="9">
        <v>12.063700000000001</v>
      </c>
      <c r="N1060" s="9">
        <v>4.9444999999999997</v>
      </c>
      <c r="O1060" s="9">
        <v>0.37409999999999999</v>
      </c>
      <c r="P1060" s="9">
        <v>1.2927</v>
      </c>
      <c r="Q1060" s="9">
        <v>19.688099999999999</v>
      </c>
      <c r="R1060" s="9"/>
      <c r="S1060" s="11"/>
    </row>
    <row r="1061" spans="1:19">
      <c r="A1061" s="10"/>
      <c r="F1061" s="1"/>
      <c r="H1061" s="1"/>
      <c r="Q1061" s="9"/>
    </row>
    <row r="1062" spans="1:19" ht="15" customHeight="1">
      <c r="A1062" s="3">
        <v>2014</v>
      </c>
      <c r="B1062" s="8">
        <f t="shared" ref="B1062:H1062" si="1">AVERAGE(B17:B28)</f>
        <v>4.5351820285747158</v>
      </c>
      <c r="C1062" s="8">
        <f t="shared" si="1"/>
        <v>4.5413931437557959</v>
      </c>
      <c r="D1062" s="8">
        <f t="shared" si="1"/>
        <v>4.5664295866784288</v>
      </c>
      <c r="E1062" s="8">
        <f t="shared" si="1"/>
        <v>4.5581285997935135</v>
      </c>
      <c r="F1062" s="4">
        <f t="shared" si="1"/>
        <v>5.2359250491463039</v>
      </c>
      <c r="G1062" s="8">
        <f t="shared" si="1"/>
        <v>4.5275280047081568</v>
      </c>
      <c r="H1062" s="4">
        <f t="shared" si="1"/>
        <v>5.3545988437301935</v>
      </c>
      <c r="I1062" s="8"/>
      <c r="J1062" s="4">
        <f>AVERAGE(J17:J28)</f>
        <v>4.3961051126387645</v>
      </c>
      <c r="K1062" s="4">
        <f>AVERAGE(K17:K28)</f>
        <v>4.4953337812747494</v>
      </c>
      <c r="L1062" s="5">
        <f>SUM(L17:L28)</f>
        <v>360.57927420000004</v>
      </c>
      <c r="M1062" s="5">
        <f>SUM(M17:M28)</f>
        <v>142.03995</v>
      </c>
      <c r="N1062" s="5">
        <f>SUM(N17:N28)</f>
        <v>56.540100000000002</v>
      </c>
      <c r="O1062" s="5">
        <f>SUM(O17:O28)</f>
        <v>7.7105140000000025</v>
      </c>
      <c r="P1062" s="5">
        <f>SUM(P17:P28)</f>
        <v>7.914449276</v>
      </c>
      <c r="Q1062" s="5"/>
      <c r="R1062" s="5">
        <f>SUM(R17:R28)</f>
        <v>3.899999999999999</v>
      </c>
      <c r="S1062" s="5">
        <f>SUM(S17:S28)</f>
        <v>12.630875000000003</v>
      </c>
    </row>
    <row r="1063" spans="1:19" ht="15" customHeight="1">
      <c r="A1063" s="3">
        <v>2015</v>
      </c>
      <c r="B1063" s="8">
        <f t="shared" ref="B1063:H1063" si="2">AVERAGE(B29:B40)</f>
        <v>4.0293666666666672</v>
      </c>
      <c r="C1063" s="8">
        <f t="shared" si="2"/>
        <v>4.0356166666666669</v>
      </c>
      <c r="D1063" s="8">
        <f t="shared" si="2"/>
        <v>4.0161999999999987</v>
      </c>
      <c r="E1063" s="8">
        <f t="shared" si="2"/>
        <v>4.0222083333333334</v>
      </c>
      <c r="F1063" s="4">
        <f t="shared" si="2"/>
        <v>4.7157249999999999</v>
      </c>
      <c r="G1063" s="8">
        <f t="shared" si="2"/>
        <v>3.9865749999999998</v>
      </c>
      <c r="H1063" s="4">
        <f t="shared" si="2"/>
        <v>4.9071416666666661</v>
      </c>
      <c r="I1063" s="8"/>
      <c r="J1063" s="4">
        <f>AVERAGE(J29:J40)</f>
        <v>3.9008083333333325</v>
      </c>
      <c r="K1063" s="4">
        <f>AVERAGE(K29:K40)</f>
        <v>3.9862999999999995</v>
      </c>
      <c r="L1063" s="5">
        <f>SUM(L29:L40)</f>
        <v>361.77389999999997</v>
      </c>
      <c r="M1063" s="5">
        <f>SUM(M29:M40)</f>
        <v>142.0401</v>
      </c>
      <c r="N1063" s="5">
        <f>SUM(N29:N40)</f>
        <v>56.113899999999994</v>
      </c>
      <c r="O1063" s="5">
        <f>SUM(O29:O40)</f>
        <v>7.2496000000000018</v>
      </c>
      <c r="P1063" s="5">
        <f>SUM(P29:P40)</f>
        <v>16.906700000000001</v>
      </c>
      <c r="Q1063" s="5"/>
      <c r="R1063" s="5">
        <f>SUM(R29:R40)</f>
        <v>3.5999999999999992</v>
      </c>
      <c r="S1063" s="5">
        <f>SUM(S29:S40)</f>
        <v>12.811500000000002</v>
      </c>
    </row>
    <row r="1064" spans="1:19" ht="15" customHeight="1">
      <c r="A1064" s="3">
        <v>2016</v>
      </c>
      <c r="B1064" s="8">
        <f t="shared" ref="B1064:H1064" si="3">AVERAGE(B41:B52)</f>
        <v>4.1162416666666664</v>
      </c>
      <c r="C1064" s="8">
        <f t="shared" si="3"/>
        <v>4.1225250000000004</v>
      </c>
      <c r="D1064" s="8">
        <f t="shared" si="3"/>
        <v>4.1064916666666669</v>
      </c>
      <c r="E1064" s="8">
        <f t="shared" si="3"/>
        <v>4.1114250000000006</v>
      </c>
      <c r="F1064" s="4">
        <f t="shared" si="3"/>
        <v>4.8060916666666662</v>
      </c>
      <c r="G1064" s="8">
        <f t="shared" si="3"/>
        <v>4.0660583333333333</v>
      </c>
      <c r="H1064" s="4">
        <f t="shared" si="3"/>
        <v>4.9964416666666667</v>
      </c>
      <c r="I1064" s="8"/>
      <c r="J1064" s="4">
        <f>AVERAGE(J41:J52)</f>
        <v>3.9851416666666672</v>
      </c>
      <c r="K1064" s="5"/>
      <c r="L1064" s="5">
        <f>SUM(L41:L52)</f>
        <v>356.48229999999995</v>
      </c>
      <c r="M1064" s="5">
        <f>SUM(M41:M52)</f>
        <v>142.42920000000001</v>
      </c>
      <c r="N1064" s="5">
        <f>SUM(N41:N52)</f>
        <v>58.377000000000002</v>
      </c>
      <c r="O1064" s="5">
        <f>SUM(O41:O52)</f>
        <v>5.3597999999999999</v>
      </c>
      <c r="P1064" s="5">
        <f>SUM(P41:P52)</f>
        <v>20.483299999999996</v>
      </c>
      <c r="Q1064" s="5"/>
      <c r="R1064" s="5">
        <f>SUM(R41:R52)</f>
        <v>3.5999999999999992</v>
      </c>
      <c r="S1064" s="5"/>
    </row>
    <row r="1065" spans="1:19" ht="15" customHeight="1">
      <c r="A1065" s="3">
        <v>2017</v>
      </c>
      <c r="B1065" s="8">
        <f t="shared" ref="B1065:J1065" si="4">AVERAGE(B53:B64)</f>
        <v>4.1086166666666664</v>
      </c>
      <c r="C1065" s="8">
        <f t="shared" si="4"/>
        <v>4.1148833333333332</v>
      </c>
      <c r="D1065" s="8">
        <f t="shared" si="4"/>
        <v>4.100625</v>
      </c>
      <c r="E1065" s="8">
        <f t="shared" si="4"/>
        <v>4.1049333333333342</v>
      </c>
      <c r="F1065" s="4">
        <f t="shared" si="4"/>
        <v>4.7984749999999998</v>
      </c>
      <c r="G1065" s="8">
        <f t="shared" si="4"/>
        <v>4.0579333333333336</v>
      </c>
      <c r="H1065" s="4">
        <f t="shared" si="4"/>
        <v>4.9889083333333328</v>
      </c>
      <c r="I1065" s="8">
        <f t="shared" si="4"/>
        <v>4.1155416666666671</v>
      </c>
      <c r="J1065" s="4">
        <f t="shared" si="4"/>
        <v>3.9777083333333336</v>
      </c>
      <c r="K1065" s="4"/>
      <c r="L1065" s="5">
        <f t="shared" ref="L1065:Q1065" si="5">SUM(L53:L64)</f>
        <v>355.53689999999995</v>
      </c>
      <c r="M1065" s="5">
        <f t="shared" si="5"/>
        <v>142.0401</v>
      </c>
      <c r="N1065" s="5">
        <f t="shared" si="5"/>
        <v>58.217499999999994</v>
      </c>
      <c r="O1065" s="5">
        <f t="shared" si="5"/>
        <v>4.4046000000000003</v>
      </c>
      <c r="P1065" s="5">
        <f t="shared" si="5"/>
        <v>20.590200000000003</v>
      </c>
      <c r="Q1065" s="5">
        <f t="shared" si="5"/>
        <v>198.18529999999998</v>
      </c>
      <c r="R1065" s="5"/>
      <c r="S1065" s="4"/>
    </row>
    <row r="1066" spans="1:19" ht="15" customHeight="1">
      <c r="A1066" s="3">
        <v>2018</v>
      </c>
      <c r="B1066" s="8">
        <f t="shared" ref="B1066:J1066" si="6">AVERAGE(B65:B76)</f>
        <v>4.3584166666666677</v>
      </c>
      <c r="C1066" s="8">
        <f t="shared" si="6"/>
        <v>4.3646666666666665</v>
      </c>
      <c r="D1066" s="8">
        <f t="shared" si="6"/>
        <v>4.355691666666667</v>
      </c>
      <c r="E1066" s="8">
        <f t="shared" si="6"/>
        <v>4.3581666666666665</v>
      </c>
      <c r="F1066" s="4">
        <f t="shared" si="6"/>
        <v>5.0482416666666667</v>
      </c>
      <c r="G1066" s="8">
        <f t="shared" si="6"/>
        <v>4.3160083333333334</v>
      </c>
      <c r="H1066" s="4">
        <f t="shared" si="6"/>
        <v>5.2357749999999994</v>
      </c>
      <c r="I1066" s="8">
        <f t="shared" si="6"/>
        <v>4.3580833333333331</v>
      </c>
      <c r="J1066" s="4">
        <f t="shared" si="6"/>
        <v>4.2201166666666667</v>
      </c>
      <c r="K1066" s="4"/>
      <c r="L1066" s="5">
        <f t="shared" ref="L1066:Q1066" si="7">SUM(L65:L76)</f>
        <v>355.53689999999995</v>
      </c>
      <c r="M1066" s="5">
        <f t="shared" si="7"/>
        <v>142.0401</v>
      </c>
      <c r="N1066" s="5">
        <f t="shared" si="7"/>
        <v>58.217499999999994</v>
      </c>
      <c r="O1066" s="5">
        <f t="shared" si="7"/>
        <v>4.4046000000000003</v>
      </c>
      <c r="P1066" s="5">
        <f t="shared" si="7"/>
        <v>15.220499999999998</v>
      </c>
      <c r="Q1066" s="5">
        <f t="shared" si="7"/>
        <v>293.19730000000004</v>
      </c>
      <c r="R1066" s="5"/>
      <c r="S1066" s="4"/>
    </row>
    <row r="1067" spans="1:19" ht="15" customHeight="1">
      <c r="A1067" s="3">
        <v>2019</v>
      </c>
      <c r="B1067" s="8">
        <f t="shared" ref="B1067:J1067" si="8">AVERAGE(B77:B88)</f>
        <v>4.6996249999999984</v>
      </c>
      <c r="C1067" s="8">
        <f t="shared" si="8"/>
        <v>4.705891666666667</v>
      </c>
      <c r="D1067" s="8">
        <f t="shared" si="8"/>
        <v>4.6969250000000002</v>
      </c>
      <c r="E1067" s="8">
        <f t="shared" si="8"/>
        <v>4.6994083333333343</v>
      </c>
      <c r="F1067" s="4">
        <f t="shared" si="8"/>
        <v>5.389475</v>
      </c>
      <c r="G1067" s="8">
        <f t="shared" si="8"/>
        <v>4.6532499999999999</v>
      </c>
      <c r="H1067" s="4">
        <f t="shared" si="8"/>
        <v>5.5729916666666668</v>
      </c>
      <c r="I1067" s="8">
        <f t="shared" si="8"/>
        <v>4.6894083333333336</v>
      </c>
      <c r="J1067" s="4">
        <f t="shared" si="8"/>
        <v>4.5512833333333331</v>
      </c>
      <c r="K1067" s="4"/>
      <c r="L1067" s="5">
        <f t="shared" ref="L1067:Q1067" si="9">SUM(L77:L88)</f>
        <v>355.53689999999995</v>
      </c>
      <c r="M1067" s="5">
        <f t="shared" si="9"/>
        <v>142.0401</v>
      </c>
      <c r="N1067" s="5">
        <f t="shared" si="9"/>
        <v>58.217499999999994</v>
      </c>
      <c r="O1067" s="5">
        <f t="shared" si="9"/>
        <v>4.4046000000000003</v>
      </c>
      <c r="P1067" s="5">
        <f t="shared" si="9"/>
        <v>15.220499999999998</v>
      </c>
      <c r="Q1067" s="5">
        <f t="shared" si="9"/>
        <v>290.24799999999999</v>
      </c>
      <c r="R1067" s="5"/>
      <c r="S1067" s="4"/>
    </row>
    <row r="1068" spans="1:19" ht="15" customHeight="1">
      <c r="A1068" s="3">
        <v>2020</v>
      </c>
      <c r="B1068" s="8">
        <f t="shared" ref="B1068:J1068" si="10">AVERAGE(B89:B100)</f>
        <v>5.1633333333333331</v>
      </c>
      <c r="C1068" s="8">
        <f t="shared" si="10"/>
        <v>5.169575</v>
      </c>
      <c r="D1068" s="8">
        <f t="shared" si="10"/>
        <v>5.1605750000000006</v>
      </c>
      <c r="E1068" s="8">
        <f t="shared" si="10"/>
        <v>5.163075000000001</v>
      </c>
      <c r="F1068" s="4">
        <f t="shared" si="10"/>
        <v>5.8531666666666666</v>
      </c>
      <c r="G1068" s="8">
        <f t="shared" si="10"/>
        <v>5.111508333333334</v>
      </c>
      <c r="H1068" s="4">
        <f t="shared" si="10"/>
        <v>6.0312583333333336</v>
      </c>
      <c r="I1068" s="8">
        <f t="shared" si="10"/>
        <v>5.1396416666666669</v>
      </c>
      <c r="J1068" s="4">
        <f t="shared" si="10"/>
        <v>5.0012833333333342</v>
      </c>
      <c r="K1068" s="4"/>
      <c r="L1068" s="5">
        <f t="shared" ref="L1068:Q1068" si="11">SUM(L89:L100)</f>
        <v>356.48229999999995</v>
      </c>
      <c r="M1068" s="5">
        <f t="shared" si="11"/>
        <v>142.42920000000001</v>
      </c>
      <c r="N1068" s="5">
        <f t="shared" si="11"/>
        <v>58.377000000000002</v>
      </c>
      <c r="O1068" s="5">
        <f t="shared" si="11"/>
        <v>4.4165999999999999</v>
      </c>
      <c r="P1068" s="5">
        <f t="shared" si="11"/>
        <v>15.262199999999998</v>
      </c>
      <c r="Q1068" s="5">
        <f t="shared" si="11"/>
        <v>349.04309999999998</v>
      </c>
      <c r="R1068" s="5"/>
      <c r="S1068" s="4"/>
    </row>
    <row r="1069" spans="1:19" ht="15" customHeight="1">
      <c r="A1069" s="3">
        <v>2021</v>
      </c>
      <c r="B1069" s="8">
        <f t="shared" ref="B1069:J1069" si="12">AVERAGE(B101:B112)</f>
        <v>5.565175</v>
      </c>
      <c r="C1069" s="8">
        <f t="shared" si="12"/>
        <v>5.571441666666666</v>
      </c>
      <c r="D1069" s="8">
        <f t="shared" si="12"/>
        <v>5.5624416666666656</v>
      </c>
      <c r="E1069" s="8">
        <f t="shared" si="12"/>
        <v>5.5649249999999988</v>
      </c>
      <c r="F1069" s="4">
        <f t="shared" si="12"/>
        <v>6.2550083333333326</v>
      </c>
      <c r="G1069" s="8">
        <f t="shared" si="12"/>
        <v>5.5086500000000003</v>
      </c>
      <c r="H1069" s="4">
        <f t="shared" si="12"/>
        <v>6.4283916666666663</v>
      </c>
      <c r="I1069" s="8">
        <f t="shared" si="12"/>
        <v>5.5298166666666662</v>
      </c>
      <c r="J1069" s="4">
        <f t="shared" si="12"/>
        <v>5.3912916666666666</v>
      </c>
      <c r="K1069" s="4"/>
      <c r="L1069" s="5">
        <f t="shared" ref="L1069:Q1069" si="13">SUM(L101:L112)</f>
        <v>355.53689999999995</v>
      </c>
      <c r="M1069" s="5">
        <f t="shared" si="13"/>
        <v>142.0401</v>
      </c>
      <c r="N1069" s="5">
        <f t="shared" si="13"/>
        <v>58.217499999999994</v>
      </c>
      <c r="O1069" s="5">
        <f t="shared" si="13"/>
        <v>4.4046000000000003</v>
      </c>
      <c r="P1069" s="5">
        <f t="shared" si="13"/>
        <v>15.220499999999998</v>
      </c>
      <c r="Q1069" s="5">
        <f t="shared" si="13"/>
        <v>388.68129999999996</v>
      </c>
      <c r="R1069" s="5"/>
      <c r="S1069" s="4"/>
    </row>
    <row r="1070" spans="1:19" ht="15" customHeight="1">
      <c r="A1070" s="3">
        <v>2022</v>
      </c>
      <c r="B1070" s="8">
        <f t="shared" ref="B1070:J1070" si="14">AVERAGE(B113:B124)</f>
        <v>5.874299999999999</v>
      </c>
      <c r="C1070" s="8">
        <f t="shared" si="14"/>
        <v>5.8805333333333332</v>
      </c>
      <c r="D1070" s="8">
        <f t="shared" si="14"/>
        <v>5.8715666666666664</v>
      </c>
      <c r="E1070" s="8">
        <f t="shared" si="14"/>
        <v>5.8740499999999995</v>
      </c>
      <c r="F1070" s="4">
        <f t="shared" si="14"/>
        <v>6.5641249999999998</v>
      </c>
      <c r="G1070" s="8">
        <f t="shared" si="14"/>
        <v>5.8141500000000006</v>
      </c>
      <c r="H1070" s="4">
        <f t="shared" si="14"/>
        <v>6.7338916666666657</v>
      </c>
      <c r="I1070" s="8">
        <f t="shared" si="14"/>
        <v>5.8299916666666673</v>
      </c>
      <c r="J1070" s="4">
        <f t="shared" si="14"/>
        <v>5.6912916666666655</v>
      </c>
      <c r="K1070" s="4"/>
      <c r="L1070" s="5">
        <f t="shared" ref="L1070:Q1070" si="15">SUM(L113:L124)</f>
        <v>355.53689999999995</v>
      </c>
      <c r="M1070" s="5">
        <f t="shared" si="15"/>
        <v>142.0401</v>
      </c>
      <c r="N1070" s="5">
        <f t="shared" si="15"/>
        <v>58.217499999999994</v>
      </c>
      <c r="O1070" s="5">
        <f t="shared" si="15"/>
        <v>4.4046000000000003</v>
      </c>
      <c r="P1070" s="5">
        <f t="shared" si="15"/>
        <v>15.220499999999998</v>
      </c>
      <c r="Q1070" s="5">
        <f t="shared" si="15"/>
        <v>386.33820000000003</v>
      </c>
      <c r="R1070" s="5"/>
      <c r="S1070" s="4"/>
    </row>
    <row r="1071" spans="1:19" ht="15" customHeight="1">
      <c r="A1071" s="3">
        <v>2023</v>
      </c>
      <c r="B1071" s="8">
        <f t="shared" ref="B1071:J1071" si="16">AVERAGE(B125:B136)</f>
        <v>6.1112916666666663</v>
      </c>
      <c r="C1071" s="8">
        <f t="shared" si="16"/>
        <v>6.1175333333333342</v>
      </c>
      <c r="D1071" s="8">
        <f t="shared" si="16"/>
        <v>6.1085666666666674</v>
      </c>
      <c r="E1071" s="8">
        <f t="shared" si="16"/>
        <v>6.1110499999999996</v>
      </c>
      <c r="F1071" s="4">
        <f t="shared" si="16"/>
        <v>6.8011249999999999</v>
      </c>
      <c r="G1071" s="8">
        <f t="shared" si="16"/>
        <v>6.0483666666666664</v>
      </c>
      <c r="H1071" s="4">
        <f t="shared" si="16"/>
        <v>6.9681249999999997</v>
      </c>
      <c r="I1071" s="8">
        <f t="shared" si="16"/>
        <v>6.0600916666666658</v>
      </c>
      <c r="J1071" s="4">
        <f t="shared" si="16"/>
        <v>5.9212999999999996</v>
      </c>
      <c r="K1071" s="4"/>
      <c r="L1071" s="5">
        <f t="shared" ref="L1071:Q1071" si="17">SUM(L125:L136)</f>
        <v>355.53689999999995</v>
      </c>
      <c r="M1071" s="5">
        <f t="shared" si="17"/>
        <v>142.0401</v>
      </c>
      <c r="N1071" s="5">
        <f t="shared" si="17"/>
        <v>58.217499999999994</v>
      </c>
      <c r="O1071" s="5">
        <f t="shared" si="17"/>
        <v>4.4046000000000003</v>
      </c>
      <c r="P1071" s="5">
        <f t="shared" si="17"/>
        <v>15.220499999999998</v>
      </c>
      <c r="Q1071" s="5">
        <f t="shared" si="17"/>
        <v>384.12599999999998</v>
      </c>
      <c r="R1071" s="5"/>
      <c r="S1071" s="4"/>
    </row>
    <row r="1072" spans="1:19" ht="15" customHeight="1">
      <c r="A1072" s="3">
        <v>2024</v>
      </c>
      <c r="B1072" s="8">
        <f t="shared" ref="B1072:J1072" si="18">AVERAGE(B137:B148)</f>
        <v>6.2967666666666675</v>
      </c>
      <c r="C1072" s="8">
        <f t="shared" si="18"/>
        <v>6.3030083333333344</v>
      </c>
      <c r="D1072" s="8">
        <f t="shared" si="18"/>
        <v>6.2940416666666659</v>
      </c>
      <c r="E1072" s="8">
        <f t="shared" si="18"/>
        <v>6.2965249999999999</v>
      </c>
      <c r="F1072" s="4">
        <f t="shared" si="18"/>
        <v>6.9865916666666665</v>
      </c>
      <c r="G1072" s="8">
        <f t="shared" si="18"/>
        <v>6.2316583333333329</v>
      </c>
      <c r="H1072" s="4">
        <f t="shared" si="18"/>
        <v>7.1514416666666669</v>
      </c>
      <c r="I1072" s="8">
        <f t="shared" si="18"/>
        <v>6.240191666666667</v>
      </c>
      <c r="J1072" s="4">
        <f t="shared" si="18"/>
        <v>6.1012999999999993</v>
      </c>
      <c r="K1072" s="4"/>
      <c r="L1072" s="5">
        <f t="shared" ref="L1072:Q1072" si="19">SUM(L137:L148)</f>
        <v>356.48229999999995</v>
      </c>
      <c r="M1072" s="5">
        <f t="shared" si="19"/>
        <v>142.42920000000001</v>
      </c>
      <c r="N1072" s="5">
        <f t="shared" si="19"/>
        <v>58.377000000000002</v>
      </c>
      <c r="O1072" s="5">
        <f t="shared" si="19"/>
        <v>4.4165999999999999</v>
      </c>
      <c r="P1072" s="5">
        <f t="shared" si="19"/>
        <v>15.262199999999998</v>
      </c>
      <c r="Q1072" s="5">
        <f t="shared" si="19"/>
        <v>383.00459999999998</v>
      </c>
      <c r="R1072" s="5"/>
      <c r="S1072" s="4"/>
    </row>
    <row r="1073" spans="1:19" ht="15" customHeight="1">
      <c r="A1073" s="3">
        <v>2025</v>
      </c>
      <c r="B1073" s="8">
        <f t="shared" ref="B1073:J1073" si="20">AVERAGE(B149:B160)</f>
        <v>6.4925250000000005</v>
      </c>
      <c r="C1073" s="8">
        <f t="shared" si="20"/>
        <v>6.498783333333332</v>
      </c>
      <c r="D1073" s="8">
        <f t="shared" si="20"/>
        <v>6.4898250000000006</v>
      </c>
      <c r="E1073" s="8">
        <f t="shared" si="20"/>
        <v>6.4922916666666675</v>
      </c>
      <c r="F1073" s="4">
        <f t="shared" si="20"/>
        <v>7.1823749999999995</v>
      </c>
      <c r="G1073" s="8">
        <f t="shared" si="20"/>
        <v>6.4251416666666659</v>
      </c>
      <c r="H1073" s="4">
        <f t="shared" si="20"/>
        <v>7.3449</v>
      </c>
      <c r="I1073" s="8">
        <f t="shared" si="20"/>
        <v>6.4302833333333327</v>
      </c>
      <c r="J1073" s="4">
        <f t="shared" si="20"/>
        <v>6.2912916666666669</v>
      </c>
      <c r="K1073" s="4"/>
      <c r="L1073" s="5">
        <f t="shared" ref="L1073:Q1073" si="21">SUM(L149:L160)</f>
        <v>355.53689999999995</v>
      </c>
      <c r="M1073" s="5">
        <f t="shared" si="21"/>
        <v>142.0401</v>
      </c>
      <c r="N1073" s="5">
        <f t="shared" si="21"/>
        <v>58.217499999999994</v>
      </c>
      <c r="O1073" s="5">
        <f t="shared" si="21"/>
        <v>4.4046000000000003</v>
      </c>
      <c r="P1073" s="5">
        <f t="shared" si="21"/>
        <v>15.220499999999998</v>
      </c>
      <c r="Q1073" s="5">
        <f t="shared" si="21"/>
        <v>379.76819999999998</v>
      </c>
      <c r="R1073" s="5"/>
      <c r="S1073" s="4"/>
    </row>
    <row r="1074" spans="1:19" ht="15" customHeight="1">
      <c r="A1074" s="3">
        <v>2026</v>
      </c>
      <c r="B1074" s="8">
        <f t="shared" ref="B1074:J1074" si="22">AVERAGE(B161:B172)</f>
        <v>6.6883083333333326</v>
      </c>
      <c r="C1074" s="8">
        <f t="shared" si="22"/>
        <v>6.6945750000000004</v>
      </c>
      <c r="D1074" s="8">
        <f t="shared" si="22"/>
        <v>6.6855916666666673</v>
      </c>
      <c r="E1074" s="8">
        <f t="shared" si="22"/>
        <v>6.6880750000000004</v>
      </c>
      <c r="F1074" s="4">
        <f t="shared" si="22"/>
        <v>7.3781583333333325</v>
      </c>
      <c r="G1074" s="8">
        <f t="shared" si="22"/>
        <v>6.6186250000000006</v>
      </c>
      <c r="H1074" s="4">
        <f t="shared" si="22"/>
        <v>7.5384000000000002</v>
      </c>
      <c r="I1074" s="8">
        <f t="shared" si="22"/>
        <v>6.6203749999999992</v>
      </c>
      <c r="J1074" s="4">
        <f t="shared" si="22"/>
        <v>6.4812833333333337</v>
      </c>
      <c r="K1074" s="4"/>
      <c r="L1074" s="5">
        <f t="shared" ref="L1074:Q1074" si="23">SUM(L161:L172)</f>
        <v>355.53689999999995</v>
      </c>
      <c r="M1074" s="5">
        <f t="shared" si="23"/>
        <v>142.0401</v>
      </c>
      <c r="N1074" s="5">
        <f t="shared" si="23"/>
        <v>58.217499999999994</v>
      </c>
      <c r="O1074" s="5">
        <f t="shared" si="23"/>
        <v>4.4046000000000003</v>
      </c>
      <c r="P1074" s="5">
        <f t="shared" si="23"/>
        <v>15.220499999999998</v>
      </c>
      <c r="Q1074" s="5">
        <f t="shared" si="23"/>
        <v>377.59969999999987</v>
      </c>
      <c r="R1074" s="5"/>
      <c r="S1074" s="4"/>
    </row>
    <row r="1075" spans="1:19" ht="15" customHeight="1">
      <c r="A1075" s="3">
        <v>2027</v>
      </c>
      <c r="B1075" s="8">
        <f t="shared" ref="B1075:J1075" si="24">AVERAGE(B173:B184)</f>
        <v>6.8943916666666665</v>
      </c>
      <c r="C1075" s="8">
        <f t="shared" si="24"/>
        <v>6.9006500000000015</v>
      </c>
      <c r="D1075" s="8">
        <f t="shared" si="24"/>
        <v>6.8916666666666657</v>
      </c>
      <c r="E1075" s="8">
        <f t="shared" si="24"/>
        <v>6.894166666666667</v>
      </c>
      <c r="F1075" s="4">
        <f t="shared" si="24"/>
        <v>7.5842333333333336</v>
      </c>
      <c r="G1075" s="8">
        <f t="shared" si="24"/>
        <v>6.8222999999999985</v>
      </c>
      <c r="H1075" s="4">
        <f t="shared" si="24"/>
        <v>7.742049999999999</v>
      </c>
      <c r="I1075" s="8">
        <f t="shared" si="24"/>
        <v>6.8204749999999992</v>
      </c>
      <c r="J1075" s="4">
        <f t="shared" si="24"/>
        <v>6.6812916666666657</v>
      </c>
      <c r="K1075" s="4"/>
      <c r="L1075" s="5">
        <f t="shared" ref="L1075:Q1075" si="25">SUM(L173:L184)</f>
        <v>355.53689999999995</v>
      </c>
      <c r="M1075" s="5">
        <f t="shared" si="25"/>
        <v>142.0401</v>
      </c>
      <c r="N1075" s="5">
        <f t="shared" si="25"/>
        <v>58.217499999999994</v>
      </c>
      <c r="O1075" s="5">
        <f t="shared" si="25"/>
        <v>4.4046000000000003</v>
      </c>
      <c r="P1075" s="5">
        <f t="shared" si="25"/>
        <v>15.220499999999998</v>
      </c>
      <c r="Q1075" s="5">
        <f t="shared" si="25"/>
        <v>375.43180000000001</v>
      </c>
      <c r="R1075" s="5"/>
      <c r="S1075" s="4"/>
    </row>
    <row r="1076" spans="1:19" ht="15" customHeight="1">
      <c r="A1076" s="3">
        <v>2028</v>
      </c>
      <c r="B1076" s="8">
        <f t="shared" ref="B1076:J1076" si="26">AVERAGE(B185:B196)</f>
        <v>7.1004750000000003</v>
      </c>
      <c r="C1076" s="8">
        <f t="shared" si="26"/>
        <v>7.1067250000000008</v>
      </c>
      <c r="D1076" s="8">
        <f t="shared" si="26"/>
        <v>7.0977416666666668</v>
      </c>
      <c r="E1076" s="8">
        <f t="shared" si="26"/>
        <v>7.1002333333333327</v>
      </c>
      <c r="F1076" s="4">
        <f t="shared" si="26"/>
        <v>7.7902999999999984</v>
      </c>
      <c r="G1076" s="8">
        <f t="shared" si="26"/>
        <v>7.0259666666666662</v>
      </c>
      <c r="H1076" s="4">
        <f t="shared" si="26"/>
        <v>7.9457333333333331</v>
      </c>
      <c r="I1076" s="8">
        <f t="shared" si="26"/>
        <v>7.0205833333333336</v>
      </c>
      <c r="J1076" s="4">
        <f t="shared" si="26"/>
        <v>6.8813000000000004</v>
      </c>
      <c r="K1076" s="4"/>
      <c r="L1076" s="5">
        <f t="shared" ref="L1076:Q1076" si="27">SUM(L185:L196)</f>
        <v>356.48229999999995</v>
      </c>
      <c r="M1076" s="5">
        <f t="shared" si="27"/>
        <v>142.42920000000001</v>
      </c>
      <c r="N1076" s="5">
        <f t="shared" si="27"/>
        <v>58.377000000000002</v>
      </c>
      <c r="O1076" s="5">
        <f t="shared" si="27"/>
        <v>4.4165999999999999</v>
      </c>
      <c r="P1076" s="5">
        <f t="shared" si="27"/>
        <v>15.262199999999998</v>
      </c>
      <c r="Q1076" s="5">
        <f t="shared" si="27"/>
        <v>374.28599999999994</v>
      </c>
      <c r="R1076" s="5"/>
      <c r="S1076" s="4"/>
    </row>
    <row r="1077" spans="1:19" ht="15" customHeight="1">
      <c r="A1077" s="3">
        <v>2029</v>
      </c>
      <c r="B1077" s="8">
        <f t="shared" ref="B1077:J1077" si="28">AVERAGE(B197:B208)</f>
        <v>7.316866666666666</v>
      </c>
      <c r="C1077" s="8">
        <f t="shared" si="28"/>
        <v>7.3231166666666665</v>
      </c>
      <c r="D1077" s="8">
        <f t="shared" si="28"/>
        <v>7.3141416666666652</v>
      </c>
      <c r="E1077" s="8">
        <f t="shared" si="28"/>
        <v>7.3166333333333347</v>
      </c>
      <c r="F1077" s="4">
        <f t="shared" si="28"/>
        <v>8.0067000000000004</v>
      </c>
      <c r="G1077" s="8">
        <f t="shared" si="28"/>
        <v>7.2397999999999998</v>
      </c>
      <c r="H1077" s="4">
        <f t="shared" si="28"/>
        <v>8.159558333333333</v>
      </c>
      <c r="I1077" s="8">
        <f t="shared" si="28"/>
        <v>7.2306833333333342</v>
      </c>
      <c r="J1077" s="4">
        <f t="shared" si="28"/>
        <v>7.0913000000000004</v>
      </c>
      <c r="K1077" s="4"/>
      <c r="L1077" s="5">
        <f t="shared" ref="L1077:Q1077" si="29">SUM(L197:L208)</f>
        <v>355.53689999999995</v>
      </c>
      <c r="M1077" s="5">
        <f t="shared" si="29"/>
        <v>142.0401</v>
      </c>
      <c r="N1077" s="5">
        <f t="shared" si="29"/>
        <v>58.217499999999994</v>
      </c>
      <c r="O1077" s="5">
        <f t="shared" si="29"/>
        <v>4.4046000000000003</v>
      </c>
      <c r="P1077" s="5">
        <f t="shared" si="29"/>
        <v>15.220499999999998</v>
      </c>
      <c r="Q1077" s="5">
        <f t="shared" si="29"/>
        <v>371.09549999999996</v>
      </c>
      <c r="R1077" s="5"/>
      <c r="S1077" s="4"/>
    </row>
    <row r="1078" spans="1:19" ht="15" customHeight="1">
      <c r="A1078" s="3">
        <v>2030</v>
      </c>
      <c r="B1078" s="8">
        <f t="shared" ref="B1078:J1078" si="30">AVERAGE(B209:B220)</f>
        <v>7.5332333333333326</v>
      </c>
      <c r="C1078" s="8">
        <f t="shared" si="30"/>
        <v>7.5395000000000003</v>
      </c>
      <c r="D1078" s="8">
        <f t="shared" si="30"/>
        <v>7.5305166666666672</v>
      </c>
      <c r="E1078" s="8">
        <f t="shared" si="30"/>
        <v>7.5330083333333322</v>
      </c>
      <c r="F1078" s="4">
        <f t="shared" si="30"/>
        <v>8.2230833333333333</v>
      </c>
      <c r="G1078" s="8">
        <f t="shared" si="30"/>
        <v>7.4536583333333333</v>
      </c>
      <c r="H1078" s="4">
        <f t="shared" si="30"/>
        <v>8.3734166666666656</v>
      </c>
      <c r="I1078" s="8">
        <f t="shared" si="30"/>
        <v>7.4408000000000003</v>
      </c>
      <c r="J1078" s="4">
        <f t="shared" si="30"/>
        <v>7.3012833333333331</v>
      </c>
      <c r="K1078" s="4"/>
      <c r="L1078" s="5">
        <f t="shared" ref="L1078:Q1078" si="31">SUM(L209:L220)</f>
        <v>355.53689999999995</v>
      </c>
      <c r="M1078" s="5">
        <f t="shared" si="31"/>
        <v>142.0401</v>
      </c>
      <c r="N1078" s="5">
        <f t="shared" si="31"/>
        <v>58.217499999999994</v>
      </c>
      <c r="O1078" s="5">
        <f t="shared" si="31"/>
        <v>4.4046000000000003</v>
      </c>
      <c r="P1078" s="5">
        <f t="shared" si="31"/>
        <v>15.220499999999998</v>
      </c>
      <c r="Q1078" s="5">
        <f t="shared" si="31"/>
        <v>368.9276999999999</v>
      </c>
      <c r="R1078" s="5"/>
      <c r="S1078" s="4"/>
    </row>
    <row r="1079" spans="1:19" ht="15" customHeight="1">
      <c r="A1079" s="3">
        <v>2031</v>
      </c>
      <c r="B1079" s="8">
        <f t="shared" ref="B1079:J1079" si="32">AVERAGE(B221:B232)</f>
        <v>7.759925</v>
      </c>
      <c r="C1079" s="8">
        <f t="shared" si="32"/>
        <v>7.7661750000000005</v>
      </c>
      <c r="D1079" s="8">
        <f t="shared" si="32"/>
        <v>7.7572000000000001</v>
      </c>
      <c r="E1079" s="8">
        <f t="shared" si="32"/>
        <v>7.7596833333333324</v>
      </c>
      <c r="F1079" s="4">
        <f t="shared" si="32"/>
        <v>8.4497500000000016</v>
      </c>
      <c r="G1079" s="8">
        <f t="shared" si="32"/>
        <v>7.6776833333333334</v>
      </c>
      <c r="H1079" s="4">
        <f t="shared" si="32"/>
        <v>8.5974500000000003</v>
      </c>
      <c r="I1079" s="8">
        <f t="shared" si="32"/>
        <v>7.6609000000000007</v>
      </c>
      <c r="J1079" s="4">
        <f t="shared" si="32"/>
        <v>7.5212916666666674</v>
      </c>
      <c r="K1079" s="4"/>
      <c r="L1079" s="5">
        <f t="shared" ref="L1079:Q1079" si="33">SUM(L221:L232)</f>
        <v>355.53689999999995</v>
      </c>
      <c r="M1079" s="5">
        <f t="shared" si="33"/>
        <v>142.0401</v>
      </c>
      <c r="N1079" s="5">
        <f t="shared" si="33"/>
        <v>58.217499999999994</v>
      </c>
      <c r="O1079" s="5">
        <f t="shared" si="33"/>
        <v>4.4046000000000003</v>
      </c>
      <c r="P1079" s="5">
        <f t="shared" si="33"/>
        <v>15.220499999999998</v>
      </c>
      <c r="Q1079" s="5">
        <f t="shared" si="33"/>
        <v>365.31420000000003</v>
      </c>
      <c r="R1079" s="5"/>
      <c r="S1079" s="4"/>
    </row>
    <row r="1080" spans="1:19" ht="15" customHeight="1">
      <c r="A1080" s="3">
        <v>2032</v>
      </c>
      <c r="B1080" s="8">
        <f t="shared" ref="B1080:J1080" si="34">AVERAGE(B233:B244)</f>
        <v>7.9866166666666674</v>
      </c>
      <c r="C1080" s="8">
        <f t="shared" si="34"/>
        <v>7.992866666666667</v>
      </c>
      <c r="D1080" s="8">
        <f t="shared" si="34"/>
        <v>7.9838833333333348</v>
      </c>
      <c r="E1080" s="8">
        <f t="shared" si="34"/>
        <v>7.9863749999999998</v>
      </c>
      <c r="F1080" s="4">
        <f t="shared" si="34"/>
        <v>8.6764499999999991</v>
      </c>
      <c r="G1080" s="8">
        <f t="shared" si="34"/>
        <v>7.9017333333333335</v>
      </c>
      <c r="H1080" s="4">
        <f t="shared" si="34"/>
        <v>8.8214833333333313</v>
      </c>
      <c r="I1080" s="8">
        <f t="shared" si="34"/>
        <v>7.8810083333333338</v>
      </c>
      <c r="J1080" s="4">
        <f t="shared" si="34"/>
        <v>7.7413083333333335</v>
      </c>
      <c r="K1080" s="4"/>
      <c r="L1080" s="5">
        <f t="shared" ref="L1080:Q1080" si="35">SUM(L233:L244)</f>
        <v>356.48229999999995</v>
      </c>
      <c r="M1080" s="5">
        <f t="shared" si="35"/>
        <v>142.42920000000001</v>
      </c>
      <c r="N1080" s="5">
        <f t="shared" si="35"/>
        <v>58.377000000000002</v>
      </c>
      <c r="O1080" s="5">
        <f t="shared" si="35"/>
        <v>4.4165999999999999</v>
      </c>
      <c r="P1080" s="5">
        <f t="shared" si="35"/>
        <v>15.262199999999998</v>
      </c>
      <c r="Q1080" s="5">
        <f t="shared" si="35"/>
        <v>364.46999999999997</v>
      </c>
      <c r="R1080" s="5"/>
      <c r="S1080" s="4"/>
    </row>
    <row r="1081" spans="1:19" ht="15" customHeight="1">
      <c r="A1081" s="3">
        <v>2033</v>
      </c>
      <c r="B1081" s="8">
        <f t="shared" ref="B1081:J1081" si="36">AVERAGE(B245:B256)</f>
        <v>8.2236166666666684</v>
      </c>
      <c r="C1081" s="8">
        <f t="shared" si="36"/>
        <v>8.2298583333333326</v>
      </c>
      <c r="D1081" s="8">
        <f t="shared" si="36"/>
        <v>8.2208750000000013</v>
      </c>
      <c r="E1081" s="8">
        <f t="shared" si="36"/>
        <v>8.2233666666666672</v>
      </c>
      <c r="F1081" s="4">
        <f t="shared" si="36"/>
        <v>8.9134499999999992</v>
      </c>
      <c r="G1081" s="8">
        <f t="shared" si="36"/>
        <v>8.1359499999999993</v>
      </c>
      <c r="H1081" s="4">
        <f t="shared" si="36"/>
        <v>9.0556999999999999</v>
      </c>
      <c r="I1081" s="8">
        <f t="shared" si="36"/>
        <v>8.1111249999999995</v>
      </c>
      <c r="J1081" s="4">
        <f t="shared" si="36"/>
        <v>7.9712999999999994</v>
      </c>
      <c r="K1081" s="4"/>
      <c r="L1081" s="5">
        <f t="shared" ref="L1081:Q1081" si="37">SUM(L245:L256)</f>
        <v>355.53689999999995</v>
      </c>
      <c r="M1081" s="5">
        <f t="shared" si="37"/>
        <v>142.0401</v>
      </c>
      <c r="N1081" s="5">
        <f t="shared" si="37"/>
        <v>58.217499999999994</v>
      </c>
      <c r="O1081" s="5">
        <f t="shared" si="37"/>
        <v>4.4046000000000003</v>
      </c>
      <c r="P1081" s="5">
        <f t="shared" si="37"/>
        <v>15.220499999999998</v>
      </c>
      <c r="Q1081" s="5">
        <f t="shared" si="37"/>
        <v>362.33550000000002</v>
      </c>
      <c r="R1081" s="5"/>
      <c r="S1081" s="4"/>
    </row>
    <row r="1082" spans="1:19" ht="15" customHeight="1">
      <c r="A1082" s="3">
        <v>2034</v>
      </c>
      <c r="B1082" s="8">
        <f t="shared" ref="B1082:J1082" si="38">AVERAGE(B257:B268)</f>
        <v>8.3884500000000006</v>
      </c>
      <c r="C1082" s="8">
        <f t="shared" si="38"/>
        <v>8.3947249999999993</v>
      </c>
      <c r="D1082" s="8">
        <f t="shared" si="38"/>
        <v>8.3857499999999998</v>
      </c>
      <c r="E1082" s="8">
        <f t="shared" si="38"/>
        <v>8.3882333333333339</v>
      </c>
      <c r="F1082" s="4">
        <f t="shared" si="38"/>
        <v>9.0783083333333341</v>
      </c>
      <c r="G1082" s="8">
        <f t="shared" si="38"/>
        <v>8.2988833333333325</v>
      </c>
      <c r="H1082" s="4">
        <f t="shared" si="38"/>
        <v>9.2186499999999985</v>
      </c>
      <c r="I1082" s="8">
        <f t="shared" si="38"/>
        <v>8.2711999999999986</v>
      </c>
      <c r="J1082" s="4">
        <f t="shared" si="38"/>
        <v>8.1312916666666677</v>
      </c>
      <c r="K1082" s="4"/>
      <c r="L1082" s="5">
        <f t="shared" ref="L1082:Q1082" si="39">SUM(L257:L268)</f>
        <v>355.53689999999995</v>
      </c>
      <c r="M1082" s="5">
        <f t="shared" si="39"/>
        <v>142.0401</v>
      </c>
      <c r="N1082" s="5">
        <f t="shared" si="39"/>
        <v>58.217499999999994</v>
      </c>
      <c r="O1082" s="5">
        <f t="shared" si="39"/>
        <v>4.4046000000000003</v>
      </c>
      <c r="P1082" s="5">
        <f t="shared" si="39"/>
        <v>15.220499999999998</v>
      </c>
      <c r="Q1082" s="5">
        <f t="shared" si="39"/>
        <v>361.59120000000007</v>
      </c>
      <c r="R1082" s="5"/>
      <c r="S1082" s="4"/>
    </row>
    <row r="1083" spans="1:19" ht="15" customHeight="1">
      <c r="A1083" s="3">
        <v>2035</v>
      </c>
      <c r="B1083" s="8">
        <f t="shared" ref="B1083:J1083" si="40">AVERAGE(B269:B280)</f>
        <v>8.5533333333333328</v>
      </c>
      <c r="C1083" s="8">
        <f t="shared" si="40"/>
        <v>8.5595833333333342</v>
      </c>
      <c r="D1083" s="8">
        <f t="shared" si="40"/>
        <v>8.5506000000000011</v>
      </c>
      <c r="E1083" s="8">
        <f t="shared" si="40"/>
        <v>8.553091666666667</v>
      </c>
      <c r="F1083" s="4">
        <f t="shared" si="40"/>
        <v>9.2431666666666654</v>
      </c>
      <c r="G1083" s="8">
        <f t="shared" si="40"/>
        <v>8.461800000000002</v>
      </c>
      <c r="H1083" s="4">
        <f t="shared" si="40"/>
        <v>9.3815666666666662</v>
      </c>
      <c r="I1083" s="8">
        <f t="shared" si="40"/>
        <v>8.4313000000000002</v>
      </c>
      <c r="J1083" s="4">
        <f t="shared" si="40"/>
        <v>8.2912916666666678</v>
      </c>
      <c r="K1083" s="4"/>
      <c r="L1083" s="5">
        <f t="shared" ref="L1083:Q1083" si="41">SUM(L269:L280)</f>
        <v>355.53689999999995</v>
      </c>
      <c r="M1083" s="5">
        <f t="shared" si="41"/>
        <v>142.0401</v>
      </c>
      <c r="N1083" s="5">
        <f t="shared" si="41"/>
        <v>58.217499999999994</v>
      </c>
      <c r="O1083" s="5">
        <f t="shared" si="41"/>
        <v>4.4046000000000003</v>
      </c>
      <c r="P1083" s="5">
        <f t="shared" si="41"/>
        <v>15.220499999999998</v>
      </c>
      <c r="Q1083" s="5">
        <f t="shared" si="41"/>
        <v>360.82469999999995</v>
      </c>
      <c r="R1083" s="5"/>
      <c r="S1083" s="4"/>
    </row>
    <row r="1084" spans="1:19" ht="15" customHeight="1">
      <c r="A1084" s="3">
        <v>2036</v>
      </c>
      <c r="B1084" s="8">
        <f t="shared" ref="B1084:J1084" si="42">AVERAGE(B281:B292)</f>
        <v>8.7585666666666686</v>
      </c>
      <c r="C1084" s="8">
        <f t="shared" si="42"/>
        <v>8.7648333333333337</v>
      </c>
      <c r="D1084" s="8">
        <f t="shared" si="42"/>
        <v>8.755841666666667</v>
      </c>
      <c r="E1084" s="8">
        <f t="shared" si="42"/>
        <v>8.7583333333333346</v>
      </c>
      <c r="F1084" s="4">
        <f t="shared" si="42"/>
        <v>9.4484083333333331</v>
      </c>
      <c r="G1084" s="8">
        <f t="shared" si="42"/>
        <v>8.6646416666666681</v>
      </c>
      <c r="H1084" s="4">
        <f t="shared" si="42"/>
        <v>9.5844166666666659</v>
      </c>
      <c r="I1084" s="8">
        <f t="shared" si="42"/>
        <v>8.6305916666666675</v>
      </c>
      <c r="J1084" s="4">
        <f t="shared" si="42"/>
        <v>8.4904666666666664</v>
      </c>
      <c r="K1084" s="4"/>
      <c r="L1084" s="5">
        <f t="shared" ref="L1084:Q1084" si="43">SUM(L281:L292)</f>
        <v>356.48229999999995</v>
      </c>
      <c r="M1084" s="5">
        <f t="shared" si="43"/>
        <v>142.42920000000001</v>
      </c>
      <c r="N1084" s="5">
        <f t="shared" si="43"/>
        <v>58.377000000000002</v>
      </c>
      <c r="O1084" s="5">
        <f t="shared" si="43"/>
        <v>4.4165999999999999</v>
      </c>
      <c r="P1084" s="5">
        <f t="shared" si="43"/>
        <v>15.262199999999998</v>
      </c>
      <c r="Q1084" s="5">
        <f t="shared" si="43"/>
        <v>361.0446</v>
      </c>
      <c r="R1084" s="5"/>
      <c r="S1084" s="4"/>
    </row>
    <row r="1085" spans="1:19" ht="15" customHeight="1">
      <c r="A1085" s="3">
        <v>2037</v>
      </c>
      <c r="B1085" s="8">
        <f t="shared" ref="B1085:J1085" si="44">AVERAGE(B293:B304)</f>
        <v>8.9687499999999982</v>
      </c>
      <c r="C1085" s="8">
        <f t="shared" si="44"/>
        <v>8.9750166666666651</v>
      </c>
      <c r="D1085" s="8">
        <f t="shared" si="44"/>
        <v>8.9660083333333329</v>
      </c>
      <c r="E1085" s="8">
        <f t="shared" si="44"/>
        <v>8.9685000000000006</v>
      </c>
      <c r="F1085" s="4">
        <f t="shared" si="44"/>
        <v>9.6585999999999999</v>
      </c>
      <c r="G1085" s="8">
        <f t="shared" si="44"/>
        <v>8.8723749999999999</v>
      </c>
      <c r="H1085" s="4">
        <f t="shared" si="44"/>
        <v>9.7921083333333332</v>
      </c>
      <c r="I1085" s="8">
        <f t="shared" si="44"/>
        <v>8.8346583333333335</v>
      </c>
      <c r="J1085" s="4">
        <f t="shared" si="44"/>
        <v>8.6944500000000016</v>
      </c>
      <c r="K1085" s="4"/>
      <c r="L1085" s="5">
        <f t="shared" ref="L1085:Q1085" si="45">SUM(L293:L304)</f>
        <v>355.53689999999995</v>
      </c>
      <c r="M1085" s="5">
        <f t="shared" si="45"/>
        <v>142.0401</v>
      </c>
      <c r="N1085" s="5">
        <f t="shared" si="45"/>
        <v>58.217499999999994</v>
      </c>
      <c r="O1085" s="5">
        <f t="shared" si="45"/>
        <v>4.4046000000000003</v>
      </c>
      <c r="P1085" s="5">
        <f t="shared" si="45"/>
        <v>15.220499999999998</v>
      </c>
      <c r="Q1085" s="5">
        <f t="shared" si="45"/>
        <v>359.29169999999999</v>
      </c>
      <c r="R1085" s="5"/>
      <c r="S1085" s="4"/>
    </row>
    <row r="1086" spans="1:19" ht="15" customHeight="1">
      <c r="A1086" s="3">
        <f t="shared" ref="A1086:A1117" si="46">A1085+1</f>
        <v>2038</v>
      </c>
      <c r="B1086" s="8">
        <f t="shared" ref="B1086:J1086" si="47">AVERAGE(B305:B316)</f>
        <v>9.1839666666666648</v>
      </c>
      <c r="C1086" s="8">
        <f t="shared" si="47"/>
        <v>9.1902166666666663</v>
      </c>
      <c r="D1086" s="8">
        <f t="shared" si="47"/>
        <v>9.1812500000000004</v>
      </c>
      <c r="E1086" s="8">
        <f t="shared" si="47"/>
        <v>9.1837333333333344</v>
      </c>
      <c r="F1086" s="4">
        <f t="shared" si="47"/>
        <v>9.8738166666666682</v>
      </c>
      <c r="G1086" s="8">
        <f t="shared" si="47"/>
        <v>9.0850583333333343</v>
      </c>
      <c r="H1086" s="4">
        <f t="shared" si="47"/>
        <v>10.004833333333332</v>
      </c>
      <c r="I1086" s="8">
        <f t="shared" si="47"/>
        <v>9.0436250000000005</v>
      </c>
      <c r="J1086" s="4">
        <f t="shared" si="47"/>
        <v>8.903341666666666</v>
      </c>
      <c r="K1086" s="4"/>
      <c r="L1086" s="5">
        <f t="shared" ref="L1086:Q1086" si="48">SUM(L305:L316)</f>
        <v>355.53689999999995</v>
      </c>
      <c r="M1086" s="5">
        <f t="shared" si="48"/>
        <v>142.0401</v>
      </c>
      <c r="N1086" s="5">
        <f t="shared" si="48"/>
        <v>58.217499999999994</v>
      </c>
      <c r="O1086" s="5">
        <f t="shared" si="48"/>
        <v>4.4046000000000003</v>
      </c>
      <c r="P1086" s="5">
        <f t="shared" si="48"/>
        <v>15.220499999999998</v>
      </c>
      <c r="Q1086" s="5">
        <f t="shared" si="48"/>
        <v>358.54670000000004</v>
      </c>
      <c r="R1086" s="5"/>
      <c r="S1086" s="4"/>
    </row>
    <row r="1087" spans="1:19" ht="15" customHeight="1">
      <c r="A1087" s="3">
        <f t="shared" si="46"/>
        <v>2039</v>
      </c>
      <c r="B1087" s="8">
        <f t="shared" ref="B1087:J1087" si="49">AVERAGE(B317:B328)</f>
        <v>9.4043666666666645</v>
      </c>
      <c r="C1087" s="8">
        <f t="shared" si="49"/>
        <v>9.4106166666666677</v>
      </c>
      <c r="D1087" s="8">
        <f t="shared" si="49"/>
        <v>9.4016333333333346</v>
      </c>
      <c r="E1087" s="8">
        <f t="shared" si="49"/>
        <v>9.4041250000000005</v>
      </c>
      <c r="F1087" s="4">
        <f t="shared" si="49"/>
        <v>10.094199999999999</v>
      </c>
      <c r="G1087" s="8">
        <f t="shared" si="49"/>
        <v>9.3028583333333312</v>
      </c>
      <c r="H1087" s="4">
        <f t="shared" si="49"/>
        <v>10.222633333333334</v>
      </c>
      <c r="I1087" s="8">
        <f t="shared" si="49"/>
        <v>9.2576333333333327</v>
      </c>
      <c r="J1087" s="4">
        <f t="shared" si="49"/>
        <v>9.1172249999999977</v>
      </c>
      <c r="K1087" s="7"/>
      <c r="L1087" s="5">
        <f t="shared" ref="L1087:Q1087" si="50">SUM(L317:L328)</f>
        <v>355.53689999999995</v>
      </c>
      <c r="M1087" s="5">
        <f t="shared" si="50"/>
        <v>142.0401</v>
      </c>
      <c r="N1087" s="5">
        <f t="shared" si="50"/>
        <v>58.217499999999994</v>
      </c>
      <c r="O1087" s="5">
        <f t="shared" si="50"/>
        <v>4.4046000000000003</v>
      </c>
      <c r="P1087" s="5">
        <f t="shared" si="50"/>
        <v>15.220499999999998</v>
      </c>
      <c r="Q1087" s="5">
        <f t="shared" si="50"/>
        <v>357.78019999999998</v>
      </c>
      <c r="R1087" s="5"/>
      <c r="S1087" s="6"/>
    </row>
    <row r="1088" spans="1:19" ht="15" customHeight="1">
      <c r="A1088" s="3">
        <f t="shared" si="46"/>
        <v>2040</v>
      </c>
      <c r="B1088" s="8">
        <f t="shared" ref="B1088:J1088" si="51">AVERAGE(B329:B340)</f>
        <v>9.6300666666666661</v>
      </c>
      <c r="C1088" s="8">
        <f t="shared" si="51"/>
        <v>9.6363083333333339</v>
      </c>
      <c r="D1088" s="8">
        <f t="shared" si="51"/>
        <v>9.6273250000000008</v>
      </c>
      <c r="E1088" s="8">
        <f t="shared" si="51"/>
        <v>9.6298166666666685</v>
      </c>
      <c r="F1088" s="4">
        <f t="shared" si="51"/>
        <v>10.319875</v>
      </c>
      <c r="G1088" s="8">
        <f t="shared" si="51"/>
        <v>9.5259083333333354</v>
      </c>
      <c r="H1088" s="4">
        <f t="shared" si="51"/>
        <v>10.445691666666667</v>
      </c>
      <c r="I1088" s="8">
        <f t="shared" si="51"/>
        <v>9.4767833333333336</v>
      </c>
      <c r="J1088" s="4">
        <f t="shared" si="51"/>
        <v>9.3362583333333315</v>
      </c>
      <c r="K1088" s="7"/>
      <c r="L1088" s="5">
        <f t="shared" ref="L1088:Q1088" si="52">SUM(L329:L340)</f>
        <v>356.48229999999995</v>
      </c>
      <c r="M1088" s="5">
        <f t="shared" si="52"/>
        <v>142.42920000000001</v>
      </c>
      <c r="N1088" s="5">
        <f t="shared" si="52"/>
        <v>58.377000000000002</v>
      </c>
      <c r="O1088" s="5">
        <f t="shared" si="52"/>
        <v>4.4165999999999999</v>
      </c>
      <c r="P1088" s="5">
        <f t="shared" si="52"/>
        <v>15.262199999999998</v>
      </c>
      <c r="Q1088" s="5">
        <f t="shared" si="52"/>
        <v>357.99180000000001</v>
      </c>
      <c r="R1088" s="5"/>
      <c r="S1088" s="6"/>
    </row>
    <row r="1089" spans="1:19" ht="15" customHeight="1">
      <c r="A1089" s="3">
        <f t="shared" si="46"/>
        <v>2041</v>
      </c>
      <c r="B1089" s="8">
        <f t="shared" ref="B1089:J1089" si="53">AVERAGE(B341:B352)</f>
        <v>9.8611750000000011</v>
      </c>
      <c r="C1089" s="8">
        <f t="shared" si="53"/>
        <v>9.867424999999999</v>
      </c>
      <c r="D1089" s="8">
        <f t="shared" si="53"/>
        <v>9.8584416666666659</v>
      </c>
      <c r="E1089" s="8">
        <f t="shared" si="53"/>
        <v>9.8609249999999999</v>
      </c>
      <c r="F1089" s="4">
        <f t="shared" si="53"/>
        <v>10.551025000000001</v>
      </c>
      <c r="G1089" s="8">
        <f t="shared" si="53"/>
        <v>9.7543250000000015</v>
      </c>
      <c r="H1089" s="4">
        <f t="shared" si="53"/>
        <v>10.674116666666668</v>
      </c>
      <c r="I1089" s="8">
        <f t="shared" si="53"/>
        <v>9.7011749999999992</v>
      </c>
      <c r="J1089" s="4">
        <f t="shared" si="53"/>
        <v>9.5605416666666674</v>
      </c>
      <c r="K1089" s="7"/>
      <c r="L1089" s="5">
        <f t="shared" ref="L1089:Q1089" si="54">SUM(L341:L352)</f>
        <v>355.53689999999995</v>
      </c>
      <c r="M1089" s="5">
        <f t="shared" si="54"/>
        <v>142.0401</v>
      </c>
      <c r="N1089" s="5">
        <f t="shared" si="54"/>
        <v>58.217499999999994</v>
      </c>
      <c r="O1089" s="5">
        <f t="shared" si="54"/>
        <v>4.4046000000000003</v>
      </c>
      <c r="P1089" s="5">
        <f t="shared" si="54"/>
        <v>15.220499999999998</v>
      </c>
      <c r="Q1089" s="5">
        <f t="shared" si="54"/>
        <v>356.26930000000004</v>
      </c>
      <c r="R1089" s="5"/>
      <c r="S1089" s="6"/>
    </row>
    <row r="1090" spans="1:19" ht="15" customHeight="1">
      <c r="A1090" s="3">
        <f t="shared" si="46"/>
        <v>2042</v>
      </c>
      <c r="B1090" s="8">
        <f t="shared" ref="B1090:J1090" si="55">AVERAGE(B353:B364)</f>
        <v>10.097833333333334</v>
      </c>
      <c r="C1090" s="8">
        <f t="shared" si="55"/>
        <v>10.104091666666667</v>
      </c>
      <c r="D1090" s="8">
        <f t="shared" si="55"/>
        <v>10.095108333333334</v>
      </c>
      <c r="E1090" s="8">
        <f t="shared" si="55"/>
        <v>10.097591666666666</v>
      </c>
      <c r="F1090" s="4">
        <f t="shared" si="55"/>
        <v>10.787691666666667</v>
      </c>
      <c r="G1090" s="8">
        <f t="shared" si="55"/>
        <v>9.9882333333333317</v>
      </c>
      <c r="H1090" s="4">
        <f t="shared" si="55"/>
        <v>10.907983333333332</v>
      </c>
      <c r="I1090" s="8">
        <f t="shared" si="55"/>
        <v>9.9309833333333337</v>
      </c>
      <c r="J1090" s="4">
        <f t="shared" si="55"/>
        <v>9.7902249999999977</v>
      </c>
      <c r="K1090" s="7"/>
      <c r="L1090" s="5">
        <f t="shared" ref="L1090:Q1090" si="56">SUM(L353:L364)</f>
        <v>355.53689999999995</v>
      </c>
      <c r="M1090" s="5">
        <f t="shared" si="56"/>
        <v>142.0401</v>
      </c>
      <c r="N1090" s="5">
        <f t="shared" si="56"/>
        <v>58.217499999999994</v>
      </c>
      <c r="O1090" s="5">
        <f t="shared" si="56"/>
        <v>4.4046000000000003</v>
      </c>
      <c r="P1090" s="5">
        <f t="shared" si="56"/>
        <v>15.220499999999998</v>
      </c>
      <c r="Q1090" s="5">
        <f t="shared" si="56"/>
        <v>242.47669999999997</v>
      </c>
      <c r="R1090" s="5"/>
      <c r="S1090" s="6"/>
    </row>
    <row r="1091" spans="1:19" ht="15" customHeight="1">
      <c r="A1091" s="3">
        <f t="shared" si="46"/>
        <v>2043</v>
      </c>
      <c r="B1091" s="8">
        <f t="shared" ref="B1091:J1091" si="57">AVERAGE(B365:B376)</f>
        <v>10.340200000000001</v>
      </c>
      <c r="C1091" s="8">
        <f t="shared" si="57"/>
        <v>10.346449999999999</v>
      </c>
      <c r="D1091" s="8">
        <f t="shared" si="57"/>
        <v>10.337466666666668</v>
      </c>
      <c r="E1091" s="8">
        <f t="shared" si="57"/>
        <v>10.339958333333334</v>
      </c>
      <c r="F1091" s="4">
        <f t="shared" si="57"/>
        <v>11.030033333333334</v>
      </c>
      <c r="G1091" s="8">
        <f t="shared" si="57"/>
        <v>10.227758333333334</v>
      </c>
      <c r="H1091" s="4">
        <f t="shared" si="57"/>
        <v>11.147500000000001</v>
      </c>
      <c r="I1091" s="8">
        <f t="shared" si="57"/>
        <v>10.1663</v>
      </c>
      <c r="J1091" s="4">
        <f t="shared" si="57"/>
        <v>10.025450000000001</v>
      </c>
      <c r="K1091" s="7"/>
      <c r="L1091" s="5">
        <f t="shared" ref="L1091:Q1091" si="58">SUM(L365:L376)</f>
        <v>355.53689999999995</v>
      </c>
      <c r="M1091" s="5">
        <f t="shared" si="58"/>
        <v>142.0401</v>
      </c>
      <c r="N1091" s="5">
        <f t="shared" si="58"/>
        <v>58.217499999999994</v>
      </c>
      <c r="O1091" s="5">
        <f t="shared" si="58"/>
        <v>4.4046000000000003</v>
      </c>
      <c r="P1091" s="5">
        <f t="shared" si="58"/>
        <v>15.220499999999998</v>
      </c>
      <c r="Q1091" s="5">
        <f t="shared" si="58"/>
        <v>241.71019999999996</v>
      </c>
      <c r="R1091" s="5"/>
      <c r="S1091" s="6"/>
    </row>
    <row r="1092" spans="1:19" ht="15" customHeight="1">
      <c r="A1092" s="3">
        <f t="shared" si="46"/>
        <v>2044</v>
      </c>
      <c r="B1092" s="8">
        <f t="shared" ref="B1092:J1092" si="59">AVERAGE(B377:B388)</f>
        <v>10.588374999999999</v>
      </c>
      <c r="C1092" s="8">
        <f t="shared" si="59"/>
        <v>10.594616666666667</v>
      </c>
      <c r="D1092" s="8">
        <f t="shared" si="59"/>
        <v>10.585633333333332</v>
      </c>
      <c r="E1092" s="8">
        <f t="shared" si="59"/>
        <v>10.588125</v>
      </c>
      <c r="F1092" s="4">
        <f t="shared" si="59"/>
        <v>11.278208333333332</v>
      </c>
      <c r="G1092" s="8">
        <f t="shared" si="59"/>
        <v>10.473008333333334</v>
      </c>
      <c r="H1092" s="4">
        <f t="shared" si="59"/>
        <v>11.392775</v>
      </c>
      <c r="I1092" s="8">
        <f t="shared" si="59"/>
        <v>10.407266666666668</v>
      </c>
      <c r="J1092" s="4">
        <f t="shared" si="59"/>
        <v>10.266291666666666</v>
      </c>
      <c r="K1092" s="7"/>
      <c r="L1092" s="5">
        <f t="shared" ref="L1092:Q1092" si="60">SUM(L377:L388)</f>
        <v>356.48229999999995</v>
      </c>
      <c r="M1092" s="5">
        <f t="shared" si="60"/>
        <v>142.42920000000001</v>
      </c>
      <c r="N1092" s="5">
        <f t="shared" si="60"/>
        <v>58.377000000000002</v>
      </c>
      <c r="O1092" s="5">
        <f t="shared" si="60"/>
        <v>4.4165999999999999</v>
      </c>
      <c r="P1092" s="5">
        <f t="shared" si="60"/>
        <v>15.262199999999998</v>
      </c>
      <c r="Q1092" s="5">
        <f t="shared" si="60"/>
        <v>241.58220000000006</v>
      </c>
      <c r="R1092" s="5"/>
      <c r="S1092" s="6"/>
    </row>
    <row r="1093" spans="1:19" ht="15" customHeight="1">
      <c r="A1093" s="3">
        <f t="shared" si="46"/>
        <v>2045</v>
      </c>
      <c r="B1093" s="8">
        <f t="shared" ref="B1093:J1093" si="61">AVERAGE(B389:B400)</f>
        <v>10.842508333333333</v>
      </c>
      <c r="C1093" s="8">
        <f t="shared" si="61"/>
        <v>10.848750000000003</v>
      </c>
      <c r="D1093" s="8">
        <f t="shared" si="61"/>
        <v>10.839783333333335</v>
      </c>
      <c r="E1093" s="8">
        <f t="shared" si="61"/>
        <v>10.842266666666667</v>
      </c>
      <c r="F1093" s="4">
        <f t="shared" si="61"/>
        <v>11.532333333333332</v>
      </c>
      <c r="G1093" s="8">
        <f t="shared" si="61"/>
        <v>10.724183333333336</v>
      </c>
      <c r="H1093" s="4">
        <f t="shared" si="61"/>
        <v>11.643925000000001</v>
      </c>
      <c r="I1093" s="8">
        <f t="shared" si="61"/>
        <v>10.654041666666666</v>
      </c>
      <c r="J1093" s="4">
        <f t="shared" si="61"/>
        <v>10.512941666666666</v>
      </c>
      <c r="K1093" s="7"/>
      <c r="L1093" s="5">
        <f t="shared" ref="L1093:Q1093" si="62">SUM(L389:L400)</f>
        <v>355.53689999999995</v>
      </c>
      <c r="M1093" s="5">
        <f t="shared" si="62"/>
        <v>142.0401</v>
      </c>
      <c r="N1093" s="5">
        <f t="shared" si="62"/>
        <v>58.217499999999994</v>
      </c>
      <c r="O1093" s="5">
        <f t="shared" si="62"/>
        <v>4.4046000000000003</v>
      </c>
      <c r="P1093" s="5">
        <f t="shared" si="62"/>
        <v>15.220499999999998</v>
      </c>
      <c r="Q1093" s="5">
        <f t="shared" si="62"/>
        <v>240.15570000000002</v>
      </c>
      <c r="R1093" s="5"/>
      <c r="S1093" s="6"/>
    </row>
    <row r="1094" spans="1:19" ht="15" customHeight="1">
      <c r="A1094" s="3">
        <f t="shared" si="46"/>
        <v>2046</v>
      </c>
      <c r="B1094" s="8">
        <f t="shared" ref="B1094:J1094" si="63">AVERAGE(B401:B412)</f>
        <v>11.10275</v>
      </c>
      <c r="C1094" s="8">
        <f t="shared" si="63"/>
        <v>11.109008333333334</v>
      </c>
      <c r="D1094" s="8">
        <f t="shared" si="63"/>
        <v>11.100033333333334</v>
      </c>
      <c r="E1094" s="8">
        <f t="shared" si="63"/>
        <v>11.102516666666666</v>
      </c>
      <c r="F1094" s="4">
        <f t="shared" si="63"/>
        <v>11.7926</v>
      </c>
      <c r="G1094" s="8">
        <f t="shared" si="63"/>
        <v>10.981366666666666</v>
      </c>
      <c r="H1094" s="4">
        <f t="shared" si="63"/>
        <v>11.901116666666667</v>
      </c>
      <c r="I1094" s="8">
        <f t="shared" si="63"/>
        <v>10.906741666666669</v>
      </c>
      <c r="J1094" s="4">
        <f t="shared" si="63"/>
        <v>10.765516666666665</v>
      </c>
      <c r="K1094" s="7"/>
      <c r="L1094" s="5">
        <f t="shared" ref="L1094:Q1094" si="64">SUM(L401:L412)</f>
        <v>355.53689999999995</v>
      </c>
      <c r="M1094" s="5">
        <f t="shared" si="64"/>
        <v>142.0401</v>
      </c>
      <c r="N1094" s="5">
        <f t="shared" si="64"/>
        <v>58.217499999999994</v>
      </c>
      <c r="O1094" s="5">
        <f t="shared" si="64"/>
        <v>4.4046000000000003</v>
      </c>
      <c r="P1094" s="5">
        <f t="shared" si="64"/>
        <v>15.220499999999998</v>
      </c>
      <c r="Q1094" s="5">
        <f t="shared" si="64"/>
        <v>239.38920000000005</v>
      </c>
      <c r="R1094" s="5"/>
      <c r="S1094" s="6"/>
    </row>
    <row r="1095" spans="1:19" ht="15" customHeight="1">
      <c r="A1095" s="3">
        <f t="shared" si="46"/>
        <v>2047</v>
      </c>
      <c r="B1095" s="8">
        <f t="shared" ref="B1095:J1095" si="65">AVERAGE(B413:B424)</f>
        <v>11.369241666666666</v>
      </c>
      <c r="C1095" s="8">
        <f t="shared" si="65"/>
        <v>11.375508333333334</v>
      </c>
      <c r="D1095" s="8">
        <f t="shared" si="65"/>
        <v>11.366533333333331</v>
      </c>
      <c r="E1095" s="8">
        <f t="shared" si="65"/>
        <v>11.369008333333335</v>
      </c>
      <c r="F1095" s="4">
        <f t="shared" si="65"/>
        <v>12.059091666666667</v>
      </c>
      <c r="G1095" s="8">
        <f t="shared" si="65"/>
        <v>11.244749999999998</v>
      </c>
      <c r="H1095" s="4">
        <f t="shared" si="65"/>
        <v>12.164516666666666</v>
      </c>
      <c r="I1095" s="8">
        <f t="shared" si="65"/>
        <v>11.165508333333333</v>
      </c>
      <c r="J1095" s="4">
        <f t="shared" si="65"/>
        <v>11.024141666666665</v>
      </c>
      <c r="K1095" s="7"/>
      <c r="L1095" s="5">
        <f t="shared" ref="L1095:Q1095" si="66">SUM(L413:L424)</f>
        <v>355.53689999999995</v>
      </c>
      <c r="M1095" s="5">
        <f t="shared" si="66"/>
        <v>142.0401</v>
      </c>
      <c r="N1095" s="5">
        <f t="shared" si="66"/>
        <v>58.217499999999994</v>
      </c>
      <c r="O1095" s="5">
        <f t="shared" si="66"/>
        <v>4.4046000000000003</v>
      </c>
      <c r="P1095" s="5">
        <f t="shared" si="66"/>
        <v>15.220499999999998</v>
      </c>
      <c r="Q1095" s="5">
        <f t="shared" si="66"/>
        <v>238.62270000000004</v>
      </c>
      <c r="R1095" s="5"/>
      <c r="S1095" s="6"/>
    </row>
    <row r="1096" spans="1:19" ht="15" customHeight="1">
      <c r="A1096" s="3">
        <f t="shared" si="46"/>
        <v>2048</v>
      </c>
      <c r="B1096" s="8">
        <f t="shared" ref="B1096:J1096" si="67">AVERAGE(B425:B436)</f>
        <v>11.642158333333334</v>
      </c>
      <c r="C1096" s="8">
        <f t="shared" si="67"/>
        <v>11.648400000000001</v>
      </c>
      <c r="D1096" s="8">
        <f t="shared" si="67"/>
        <v>11.639425000000001</v>
      </c>
      <c r="E1096" s="8">
        <f t="shared" si="67"/>
        <v>11.641908333333332</v>
      </c>
      <c r="F1096" s="4">
        <f t="shared" si="67"/>
        <v>12.331983333333334</v>
      </c>
      <c r="G1096" s="8">
        <f t="shared" si="67"/>
        <v>11.514450000000002</v>
      </c>
      <c r="H1096" s="4">
        <f t="shared" si="67"/>
        <v>12.434216666666666</v>
      </c>
      <c r="I1096" s="8">
        <f t="shared" si="67"/>
        <v>11.4305</v>
      </c>
      <c r="J1096" s="4">
        <f t="shared" si="67"/>
        <v>11.289008333333335</v>
      </c>
      <c r="K1096" s="7"/>
      <c r="L1096" s="5">
        <f t="shared" ref="L1096:Q1096" si="68">SUM(L425:L436)</f>
        <v>356.48229999999995</v>
      </c>
      <c r="M1096" s="5">
        <f t="shared" si="68"/>
        <v>142.42920000000001</v>
      </c>
      <c r="N1096" s="5">
        <f t="shared" si="68"/>
        <v>58.377000000000002</v>
      </c>
      <c r="O1096" s="5">
        <f t="shared" si="68"/>
        <v>4.4165999999999999</v>
      </c>
      <c r="P1096" s="5">
        <f t="shared" si="68"/>
        <v>15.262199999999998</v>
      </c>
      <c r="Q1096" s="5">
        <f t="shared" si="68"/>
        <v>238.50780000000003</v>
      </c>
      <c r="R1096" s="5"/>
      <c r="S1096" s="6"/>
    </row>
    <row r="1097" spans="1:19" ht="15" customHeight="1">
      <c r="A1097" s="3">
        <f t="shared" si="46"/>
        <v>2049</v>
      </c>
      <c r="B1097" s="8">
        <f t="shared" ref="B1097:J1097" si="69">AVERAGE(B437:B448)</f>
        <v>11.921625000000001</v>
      </c>
      <c r="C1097" s="8">
        <f t="shared" si="69"/>
        <v>11.927875000000002</v>
      </c>
      <c r="D1097" s="8">
        <f t="shared" si="69"/>
        <v>11.918883333333333</v>
      </c>
      <c r="E1097" s="8">
        <f t="shared" si="69"/>
        <v>11.921383333333333</v>
      </c>
      <c r="F1097" s="4">
        <f t="shared" si="69"/>
        <v>12.611458333333333</v>
      </c>
      <c r="G1097" s="8">
        <f t="shared" si="69"/>
        <v>11.790649999999999</v>
      </c>
      <c r="H1097" s="4">
        <f t="shared" si="69"/>
        <v>12.710408333333334</v>
      </c>
      <c r="I1097" s="8">
        <f t="shared" si="69"/>
        <v>11.70185</v>
      </c>
      <c r="J1097" s="4">
        <f t="shared" si="69"/>
        <v>11.560208333333334</v>
      </c>
      <c r="K1097" s="7"/>
      <c r="L1097" s="5">
        <f t="shared" ref="L1097:Q1097" si="70">SUM(L437:L448)</f>
        <v>355.53689999999995</v>
      </c>
      <c r="M1097" s="5">
        <f t="shared" si="70"/>
        <v>142.0401</v>
      </c>
      <c r="N1097" s="5">
        <f t="shared" si="70"/>
        <v>58.217499999999994</v>
      </c>
      <c r="O1097" s="5">
        <f t="shared" si="70"/>
        <v>4.4046000000000003</v>
      </c>
      <c r="P1097" s="5">
        <f t="shared" si="70"/>
        <v>15.220499999999998</v>
      </c>
      <c r="Q1097" s="5">
        <f t="shared" si="70"/>
        <v>237.08969999999999</v>
      </c>
      <c r="R1097" s="5"/>
      <c r="S1097" s="6"/>
    </row>
    <row r="1098" spans="1:19" ht="15" customHeight="1">
      <c r="A1098" s="3">
        <f t="shared" si="46"/>
        <v>2050</v>
      </c>
      <c r="B1098" s="8">
        <f t="shared" ref="B1098:J1098" si="71">AVERAGE(B449:B460)</f>
        <v>12.207783333333333</v>
      </c>
      <c r="C1098" s="8">
        <f t="shared" si="71"/>
        <v>12.214041666666667</v>
      </c>
      <c r="D1098" s="8">
        <f t="shared" si="71"/>
        <v>12.205058333333332</v>
      </c>
      <c r="E1098" s="8">
        <f t="shared" si="71"/>
        <v>12.207541666666664</v>
      </c>
      <c r="F1098" s="4">
        <f t="shared" si="71"/>
        <v>12.897616666666666</v>
      </c>
      <c r="G1098" s="8">
        <f t="shared" si="71"/>
        <v>12.073466666666667</v>
      </c>
      <c r="H1098" s="4">
        <f t="shared" si="71"/>
        <v>12.993241666666668</v>
      </c>
      <c r="I1098" s="8">
        <f t="shared" si="71"/>
        <v>11.979716666666667</v>
      </c>
      <c r="J1098" s="4">
        <f t="shared" si="71"/>
        <v>11.837950000000001</v>
      </c>
      <c r="K1098" s="7"/>
      <c r="L1098" s="5">
        <f t="shared" ref="L1098:Q1098" si="72">SUM(L449:L460)</f>
        <v>355.53689999999995</v>
      </c>
      <c r="M1098" s="5">
        <f t="shared" si="72"/>
        <v>142.0401</v>
      </c>
      <c r="N1098" s="5">
        <f t="shared" si="72"/>
        <v>58.217499999999994</v>
      </c>
      <c r="O1098" s="5">
        <f t="shared" si="72"/>
        <v>4.4046000000000003</v>
      </c>
      <c r="P1098" s="5">
        <f t="shared" si="72"/>
        <v>15.220499999999998</v>
      </c>
      <c r="Q1098" s="5">
        <f t="shared" si="72"/>
        <v>236.32320000000004</v>
      </c>
      <c r="R1098" s="5"/>
      <c r="S1098" s="6"/>
    </row>
    <row r="1099" spans="1:19" ht="15" customHeight="1">
      <c r="A1099" s="3">
        <f t="shared" si="46"/>
        <v>2051</v>
      </c>
      <c r="B1099" s="8">
        <f t="shared" ref="B1099:J1099" si="73">AVERAGE(B461:B472)</f>
        <v>12.500833333333334</v>
      </c>
      <c r="C1099" s="8">
        <f t="shared" si="73"/>
        <v>12.507091666666668</v>
      </c>
      <c r="D1099" s="8">
        <f t="shared" si="73"/>
        <v>12.498125</v>
      </c>
      <c r="E1099" s="8">
        <f t="shared" si="73"/>
        <v>12.50060833333333</v>
      </c>
      <c r="F1099" s="4">
        <f t="shared" si="73"/>
        <v>13.190666666666667</v>
      </c>
      <c r="G1099" s="8">
        <f t="shared" si="73"/>
        <v>12.36308333333333</v>
      </c>
      <c r="H1099" s="4">
        <f t="shared" si="73"/>
        <v>13.282841666666668</v>
      </c>
      <c r="I1099" s="8">
        <f t="shared" si="73"/>
        <v>12.264266666666666</v>
      </c>
      <c r="J1099" s="4">
        <f t="shared" si="73"/>
        <v>12.122341666666665</v>
      </c>
      <c r="K1099" s="7"/>
      <c r="L1099" s="5">
        <f t="shared" ref="L1099:Q1099" si="74">SUM(L461:L472)</f>
        <v>355.53689999999995</v>
      </c>
      <c r="M1099" s="5">
        <f t="shared" si="74"/>
        <v>142.0401</v>
      </c>
      <c r="N1099" s="5">
        <f t="shared" si="74"/>
        <v>58.217499999999994</v>
      </c>
      <c r="O1099" s="5">
        <f t="shared" si="74"/>
        <v>4.4046000000000003</v>
      </c>
      <c r="P1099" s="5">
        <f t="shared" si="74"/>
        <v>15.220499999999998</v>
      </c>
      <c r="Q1099" s="5">
        <f t="shared" si="74"/>
        <v>235.57820000000007</v>
      </c>
      <c r="R1099" s="5"/>
      <c r="S1099" s="6"/>
    </row>
    <row r="1100" spans="1:19" ht="15" customHeight="1">
      <c r="A1100" s="3">
        <f t="shared" si="46"/>
        <v>2052</v>
      </c>
      <c r="B1100" s="8">
        <f t="shared" ref="B1100:J1100" si="75">AVERAGE(B473:B484)</f>
        <v>12.800924999999999</v>
      </c>
      <c r="C1100" s="8">
        <f t="shared" si="75"/>
        <v>12.807174999999999</v>
      </c>
      <c r="D1100" s="8">
        <f t="shared" si="75"/>
        <v>12.798216666666669</v>
      </c>
      <c r="E1100" s="8">
        <f t="shared" si="75"/>
        <v>12.800683333333332</v>
      </c>
      <c r="F1100" s="4">
        <f t="shared" si="75"/>
        <v>13.490758333333332</v>
      </c>
      <c r="G1100" s="8">
        <f t="shared" si="75"/>
        <v>12.659666666666666</v>
      </c>
      <c r="H1100" s="4">
        <f t="shared" si="75"/>
        <v>13.579433333333334</v>
      </c>
      <c r="I1100" s="8">
        <f t="shared" si="75"/>
        <v>12.555641666666666</v>
      </c>
      <c r="J1100" s="4">
        <f t="shared" si="75"/>
        <v>12.413583333333335</v>
      </c>
      <c r="K1100" s="7"/>
      <c r="L1100" s="5">
        <f t="shared" ref="L1100:Q1100" si="76">SUM(L473:L484)</f>
        <v>356.48229999999995</v>
      </c>
      <c r="M1100" s="5">
        <f t="shared" si="76"/>
        <v>142.42920000000001</v>
      </c>
      <c r="N1100" s="5">
        <f t="shared" si="76"/>
        <v>58.377000000000002</v>
      </c>
      <c r="O1100" s="5">
        <f t="shared" si="76"/>
        <v>4.4165999999999999</v>
      </c>
      <c r="P1100" s="5">
        <f t="shared" si="76"/>
        <v>15.262199999999998</v>
      </c>
      <c r="Q1100" s="5">
        <f t="shared" si="76"/>
        <v>235.45500000000004</v>
      </c>
      <c r="R1100" s="5"/>
      <c r="S1100" s="6"/>
    </row>
    <row r="1101" spans="1:19" ht="15" customHeight="1">
      <c r="A1101" s="3">
        <f t="shared" si="46"/>
        <v>2053</v>
      </c>
      <c r="B1101" s="8">
        <f t="shared" ref="B1101:J1101" si="77">AVERAGE(B485:B496)</f>
        <v>13.108241666666666</v>
      </c>
      <c r="C1101" s="8">
        <f t="shared" si="77"/>
        <v>13.114483333333332</v>
      </c>
      <c r="D1101" s="8">
        <f t="shared" si="77"/>
        <v>13.105491666666666</v>
      </c>
      <c r="E1101" s="8">
        <f t="shared" si="77"/>
        <v>13.107974999999998</v>
      </c>
      <c r="F1101" s="4">
        <f t="shared" si="77"/>
        <v>13.798058333333335</v>
      </c>
      <c r="G1101" s="8">
        <f t="shared" si="77"/>
        <v>12.963374999999999</v>
      </c>
      <c r="H1101" s="4">
        <f t="shared" si="77"/>
        <v>13.883125</v>
      </c>
      <c r="I1101" s="8">
        <f t="shared" si="77"/>
        <v>12.854025000000002</v>
      </c>
      <c r="J1101" s="4">
        <f t="shared" si="77"/>
        <v>12.711825000000003</v>
      </c>
      <c r="K1101" s="7"/>
      <c r="L1101" s="5">
        <f t="shared" ref="L1101:Q1101" si="78">SUM(L485:L496)</f>
        <v>355.53689999999995</v>
      </c>
      <c r="M1101" s="5">
        <f t="shared" si="78"/>
        <v>142.0401</v>
      </c>
      <c r="N1101" s="5">
        <f t="shared" si="78"/>
        <v>58.217499999999994</v>
      </c>
      <c r="O1101" s="5">
        <f t="shared" si="78"/>
        <v>4.4046000000000003</v>
      </c>
      <c r="P1101" s="5">
        <f t="shared" si="78"/>
        <v>15.220499999999998</v>
      </c>
      <c r="Q1101" s="5">
        <f t="shared" si="78"/>
        <v>234.04520000000002</v>
      </c>
      <c r="R1101" s="5"/>
      <c r="S1101" s="6"/>
    </row>
    <row r="1102" spans="1:19" ht="15" customHeight="1">
      <c r="A1102" s="3">
        <f t="shared" si="46"/>
        <v>2054</v>
      </c>
      <c r="B1102" s="8">
        <f t="shared" ref="B1102:J1102" si="79">AVERAGE(B497:B508)</f>
        <v>13.422916666666666</v>
      </c>
      <c r="C1102" s="8">
        <f t="shared" si="79"/>
        <v>13.429166666666669</v>
      </c>
      <c r="D1102" s="8">
        <f t="shared" si="79"/>
        <v>13.420183333333332</v>
      </c>
      <c r="E1102" s="8">
        <f t="shared" si="79"/>
        <v>13.422674999999998</v>
      </c>
      <c r="F1102" s="4">
        <f t="shared" si="79"/>
        <v>14.112741666666665</v>
      </c>
      <c r="G1102" s="8">
        <f t="shared" si="79"/>
        <v>13.274375000000001</v>
      </c>
      <c r="H1102" s="4">
        <f t="shared" si="79"/>
        <v>14.194133333333333</v>
      </c>
      <c r="I1102" s="8">
        <f t="shared" si="79"/>
        <v>13.159583333333332</v>
      </c>
      <c r="J1102" s="4">
        <f t="shared" si="79"/>
        <v>13.017233333333337</v>
      </c>
      <c r="K1102" s="7"/>
      <c r="L1102" s="5">
        <f t="shared" ref="L1102:Q1102" si="80">SUM(L497:L508)</f>
        <v>355.53689999999995</v>
      </c>
      <c r="M1102" s="5">
        <f t="shared" si="80"/>
        <v>142.0401</v>
      </c>
      <c r="N1102" s="5">
        <f t="shared" si="80"/>
        <v>58.217499999999994</v>
      </c>
      <c r="O1102" s="5">
        <f t="shared" si="80"/>
        <v>4.4046000000000003</v>
      </c>
      <c r="P1102" s="5">
        <f t="shared" si="80"/>
        <v>15.220499999999998</v>
      </c>
      <c r="Q1102" s="5">
        <f t="shared" si="80"/>
        <v>233.30079999999998</v>
      </c>
      <c r="R1102" s="5"/>
      <c r="S1102" s="6"/>
    </row>
    <row r="1103" spans="1:19" ht="15" customHeight="1">
      <c r="A1103" s="3">
        <f t="shared" si="46"/>
        <v>2055</v>
      </c>
      <c r="B1103" s="8">
        <f t="shared" ref="B1103:J1103" si="81">AVERAGE(B509:B520)</f>
        <v>13.745141666666667</v>
      </c>
      <c r="C1103" s="8">
        <f t="shared" si="81"/>
        <v>13.751424999999999</v>
      </c>
      <c r="D1103" s="8">
        <f t="shared" si="81"/>
        <v>13.742441666666666</v>
      </c>
      <c r="E1103" s="8">
        <f t="shared" si="81"/>
        <v>13.744933333333334</v>
      </c>
      <c r="F1103" s="4">
        <f t="shared" si="81"/>
        <v>14.435016666666668</v>
      </c>
      <c r="G1103" s="8">
        <f t="shared" si="81"/>
        <v>13.59284166666667</v>
      </c>
      <c r="H1103" s="4">
        <f t="shared" si="81"/>
        <v>14.512591666666671</v>
      </c>
      <c r="I1103" s="8">
        <f t="shared" si="81"/>
        <v>13.472483333333335</v>
      </c>
      <c r="J1103" s="4">
        <f t="shared" si="81"/>
        <v>13.329974999999999</v>
      </c>
      <c r="K1103" s="7"/>
      <c r="L1103" s="5">
        <f t="shared" ref="L1103:Q1103" si="82">SUM(L509:L520)</f>
        <v>355.53689999999995</v>
      </c>
      <c r="M1103" s="5">
        <f t="shared" si="82"/>
        <v>142.0401</v>
      </c>
      <c r="N1103" s="5">
        <f t="shared" si="82"/>
        <v>58.217499999999994</v>
      </c>
      <c r="O1103" s="5">
        <f t="shared" si="82"/>
        <v>4.4046000000000003</v>
      </c>
      <c r="P1103" s="5">
        <f t="shared" si="82"/>
        <v>15.220499999999998</v>
      </c>
      <c r="Q1103" s="5">
        <f t="shared" si="82"/>
        <v>232.55579999999998</v>
      </c>
      <c r="R1103" s="5"/>
      <c r="S1103" s="6"/>
    </row>
    <row r="1104" spans="1:19" ht="15" customHeight="1">
      <c r="A1104" s="3">
        <f t="shared" si="46"/>
        <v>2056</v>
      </c>
      <c r="B1104" s="8">
        <f t="shared" ref="B1104:J1104" si="83">AVERAGE(B521:B532)</f>
        <v>14.075141666666667</v>
      </c>
      <c r="C1104" s="8">
        <f t="shared" si="83"/>
        <v>14.08140833333333</v>
      </c>
      <c r="D1104" s="8">
        <f t="shared" si="83"/>
        <v>14.072433333333334</v>
      </c>
      <c r="E1104" s="8">
        <f t="shared" si="83"/>
        <v>14.074916666666667</v>
      </c>
      <c r="F1104" s="4">
        <f t="shared" si="83"/>
        <v>14.764999999999999</v>
      </c>
      <c r="G1104" s="8">
        <f t="shared" si="83"/>
        <v>13.918958333333331</v>
      </c>
      <c r="H1104" s="4">
        <f t="shared" si="83"/>
        <v>14.838724999999998</v>
      </c>
      <c r="I1104" s="8">
        <f t="shared" si="83"/>
        <v>13.792883333333334</v>
      </c>
      <c r="J1104" s="4">
        <f t="shared" si="83"/>
        <v>13.650233333333334</v>
      </c>
      <c r="K1104" s="7"/>
      <c r="L1104" s="5">
        <f t="shared" ref="L1104:Q1104" si="84">SUM(L521:L532)</f>
        <v>356.48229999999995</v>
      </c>
      <c r="M1104" s="5">
        <f t="shared" si="84"/>
        <v>142.42920000000001</v>
      </c>
      <c r="N1104" s="5">
        <f t="shared" si="84"/>
        <v>58.377000000000002</v>
      </c>
      <c r="O1104" s="5">
        <f t="shared" si="84"/>
        <v>4.4165999999999999</v>
      </c>
      <c r="P1104" s="5">
        <f t="shared" si="84"/>
        <v>15.262199999999998</v>
      </c>
      <c r="Q1104" s="5">
        <f t="shared" si="84"/>
        <v>232.44659999999996</v>
      </c>
      <c r="R1104" s="5"/>
      <c r="S1104" s="6"/>
    </row>
    <row r="1105" spans="1:19" ht="15" customHeight="1">
      <c r="A1105" s="3">
        <f t="shared" si="46"/>
        <v>2057</v>
      </c>
      <c r="B1105" s="8">
        <f t="shared" ref="B1105:J1105" si="85">AVERAGE(B533:B544)</f>
        <v>14.413058333333334</v>
      </c>
      <c r="C1105" s="8">
        <f t="shared" si="85"/>
        <v>14.419333333333332</v>
      </c>
      <c r="D1105" s="8">
        <f t="shared" si="85"/>
        <v>14.410350000000001</v>
      </c>
      <c r="E1105" s="8">
        <f t="shared" si="85"/>
        <v>14.412841666666671</v>
      </c>
      <c r="F1105" s="4">
        <f t="shared" si="85"/>
        <v>15.102908333333334</v>
      </c>
      <c r="G1105" s="8">
        <f t="shared" si="85"/>
        <v>14.252916666666666</v>
      </c>
      <c r="H1105" s="4">
        <f t="shared" si="85"/>
        <v>15.172683333333334</v>
      </c>
      <c r="I1105" s="8">
        <f t="shared" si="85"/>
        <v>14.121008333333334</v>
      </c>
      <c r="J1105" s="4">
        <f t="shared" si="85"/>
        <v>13.978166666666668</v>
      </c>
      <c r="K1105" s="7"/>
      <c r="L1105" s="5">
        <f t="shared" ref="L1105:Q1105" si="86">SUM(L533:L544)</f>
        <v>355.53689999999995</v>
      </c>
      <c r="M1105" s="5">
        <f t="shared" si="86"/>
        <v>142.0401</v>
      </c>
      <c r="N1105" s="5">
        <f t="shared" si="86"/>
        <v>58.217499999999994</v>
      </c>
      <c r="O1105" s="5">
        <f t="shared" si="86"/>
        <v>4.4046000000000003</v>
      </c>
      <c r="P1105" s="5">
        <f t="shared" si="86"/>
        <v>15.220499999999998</v>
      </c>
      <c r="Q1105" s="5">
        <f t="shared" si="86"/>
        <v>231.81149999999997</v>
      </c>
      <c r="R1105" s="5"/>
      <c r="S1105" s="6"/>
    </row>
    <row r="1106" spans="1:19" ht="15" customHeight="1">
      <c r="A1106" s="3">
        <f t="shared" si="46"/>
        <v>2058</v>
      </c>
      <c r="B1106" s="8">
        <f t="shared" ref="B1106:J1106" si="87">AVERAGE(B545:B556)</f>
        <v>14.759091666666668</v>
      </c>
      <c r="C1106" s="8">
        <f t="shared" si="87"/>
        <v>14.76535</v>
      </c>
      <c r="D1106" s="8">
        <f t="shared" si="87"/>
        <v>14.756399999999999</v>
      </c>
      <c r="E1106" s="8">
        <f t="shared" si="87"/>
        <v>14.758866666666668</v>
      </c>
      <c r="F1106" s="4">
        <f t="shared" si="87"/>
        <v>15.448933333333331</v>
      </c>
      <c r="G1106" s="8">
        <f t="shared" si="87"/>
        <v>14.594900000000001</v>
      </c>
      <c r="H1106" s="4">
        <f t="shared" si="87"/>
        <v>15.514666666666665</v>
      </c>
      <c r="I1106" s="8">
        <f t="shared" si="87"/>
        <v>14.457008333333334</v>
      </c>
      <c r="J1106" s="4">
        <f t="shared" si="87"/>
        <v>14.313991666666668</v>
      </c>
      <c r="K1106" s="7"/>
      <c r="L1106" s="5">
        <f t="shared" ref="L1106:Q1106" si="88">SUM(L545:L556)</f>
        <v>355.53689999999995</v>
      </c>
      <c r="M1106" s="5">
        <f t="shared" si="88"/>
        <v>142.0401</v>
      </c>
      <c r="N1106" s="5">
        <f t="shared" si="88"/>
        <v>58.217499999999994</v>
      </c>
      <c r="O1106" s="5">
        <f t="shared" si="88"/>
        <v>4.4046000000000003</v>
      </c>
      <c r="P1106" s="5">
        <f t="shared" si="88"/>
        <v>15.220499999999998</v>
      </c>
      <c r="Q1106" s="5">
        <f t="shared" si="88"/>
        <v>231.81149999999997</v>
      </c>
      <c r="R1106" s="5"/>
      <c r="S1106" s="6"/>
    </row>
    <row r="1107" spans="1:19" ht="15" customHeight="1">
      <c r="A1107" s="3">
        <f t="shared" si="46"/>
        <v>2059</v>
      </c>
      <c r="B1107" s="8">
        <f t="shared" ref="B1107:J1107" si="89">AVERAGE(B557:B568)</f>
        <v>15.11345</v>
      </c>
      <c r="C1107" s="8">
        <f t="shared" si="89"/>
        <v>15.119708333333334</v>
      </c>
      <c r="D1107" s="8">
        <f t="shared" si="89"/>
        <v>15.110724999999997</v>
      </c>
      <c r="E1107" s="8">
        <f t="shared" si="89"/>
        <v>15.113208333333334</v>
      </c>
      <c r="F1107" s="4">
        <f t="shared" si="89"/>
        <v>15.803291666666667</v>
      </c>
      <c r="G1107" s="8">
        <f t="shared" si="89"/>
        <v>14.945100000000002</v>
      </c>
      <c r="H1107" s="4">
        <f t="shared" si="89"/>
        <v>15.864866666666666</v>
      </c>
      <c r="I1107" s="8">
        <f t="shared" si="89"/>
        <v>14.801075000000003</v>
      </c>
      <c r="J1107" s="4">
        <f t="shared" si="89"/>
        <v>14.65791666666667</v>
      </c>
      <c r="K1107" s="4"/>
      <c r="L1107" s="5">
        <f>SUM(L557:L568)</f>
        <v>355.53689999999995</v>
      </c>
      <c r="M1107" s="5">
        <f>SUM(M557:M568)</f>
        <v>142.0401</v>
      </c>
      <c r="N1107" s="5">
        <f>SUM(N557:N568)</f>
        <v>58.217499999999994</v>
      </c>
      <c r="O1107" s="5">
        <f>SUM(O546:O557)</f>
        <v>4.4046000000000003</v>
      </c>
      <c r="P1107" s="5">
        <f>SUM(P557:P568)</f>
        <v>15.220499999999998</v>
      </c>
      <c r="Q1107" s="5">
        <f>SUM(Q557:Q568)</f>
        <v>231.81149999999997</v>
      </c>
      <c r="R1107" s="5"/>
      <c r="S1107" s="4"/>
    </row>
    <row r="1108" spans="1:19" ht="15" customHeight="1">
      <c r="A1108" s="3">
        <f t="shared" si="46"/>
        <v>2060</v>
      </c>
      <c r="B1108" s="8">
        <f t="shared" ref="B1108:J1108" si="90">AVERAGE(B569:B580)</f>
        <v>15.476324999999997</v>
      </c>
      <c r="C1108" s="8">
        <f t="shared" si="90"/>
        <v>15.482566666666669</v>
      </c>
      <c r="D1108" s="8">
        <f t="shared" si="90"/>
        <v>15.473600000000003</v>
      </c>
      <c r="E1108" s="8">
        <f t="shared" si="90"/>
        <v>15.476075</v>
      </c>
      <c r="F1108" s="4">
        <f t="shared" si="90"/>
        <v>16.166166666666669</v>
      </c>
      <c r="G1108" s="8">
        <f t="shared" si="90"/>
        <v>15.303716666666665</v>
      </c>
      <c r="H1108" s="4">
        <f t="shared" si="90"/>
        <v>16.223500000000001</v>
      </c>
      <c r="I1108" s="8">
        <f t="shared" si="90"/>
        <v>15.1534</v>
      </c>
      <c r="J1108" s="4">
        <f t="shared" si="90"/>
        <v>15.010066666666667</v>
      </c>
      <c r="K1108" s="7"/>
      <c r="L1108" s="5">
        <f>SUM(L569:L580)</f>
        <v>356.48229999999995</v>
      </c>
      <c r="M1108" s="5">
        <f>SUM(M569:M580)</f>
        <v>142.42920000000001</v>
      </c>
      <c r="N1108" s="5">
        <f>SUM(N569:N580)</f>
        <v>58.377000000000002</v>
      </c>
      <c r="O1108" s="5">
        <f>SUM(O547:O558)</f>
        <v>4.4046000000000003</v>
      </c>
      <c r="P1108" s="5">
        <f>SUM(P569:P580)</f>
        <v>15.262199999999998</v>
      </c>
      <c r="Q1108" s="5">
        <f>SUM(Q569:Q580)</f>
        <v>232.44659999999996</v>
      </c>
      <c r="R1108" s="5"/>
      <c r="S1108" s="6"/>
    </row>
    <row r="1109" spans="1:19" ht="15" customHeight="1">
      <c r="A1109" s="3">
        <f t="shared" si="46"/>
        <v>2061</v>
      </c>
      <c r="B1109" s="8">
        <f t="shared" ref="B1109:J1109" si="91">AVERAGE(B581:B592)</f>
        <v>15.847891666666667</v>
      </c>
      <c r="C1109" s="8">
        <f t="shared" si="91"/>
        <v>15.854149999999999</v>
      </c>
      <c r="D1109" s="8">
        <f t="shared" si="91"/>
        <v>15.845174999999998</v>
      </c>
      <c r="E1109" s="8">
        <f t="shared" si="91"/>
        <v>15.847658333333333</v>
      </c>
      <c r="F1109" s="4">
        <f t="shared" si="91"/>
        <v>16.537741666666669</v>
      </c>
      <c r="G1109" s="8">
        <f t="shared" si="91"/>
        <v>15.670958333333333</v>
      </c>
      <c r="H1109" s="4">
        <f t="shared" si="91"/>
        <v>16.590708333333332</v>
      </c>
      <c r="I1109" s="8">
        <f t="shared" si="91"/>
        <v>15.514216666666664</v>
      </c>
      <c r="J1109" s="4">
        <f t="shared" si="91"/>
        <v>15.370683333333332</v>
      </c>
      <c r="K1109" s="7"/>
      <c r="L1109" s="5">
        <f>SUM(L581:L592)</f>
        <v>355.53689999999995</v>
      </c>
      <c r="M1109" s="5">
        <f>SUM(M581:M592)</f>
        <v>142.0401</v>
      </c>
      <c r="N1109" s="5">
        <f>SUM(N581:N592)</f>
        <v>58.217499999999994</v>
      </c>
      <c r="O1109" s="5">
        <f>SUM(O548:O559)</f>
        <v>4.4046000000000003</v>
      </c>
      <c r="P1109" s="5">
        <f>SUM(P581:P592)</f>
        <v>15.220499999999998</v>
      </c>
      <c r="Q1109" s="5">
        <f>SUM(Q581:Q592)</f>
        <v>231.81149999999997</v>
      </c>
      <c r="R1109" s="5"/>
      <c r="S1109" s="6"/>
    </row>
    <row r="1110" spans="1:19" ht="15" customHeight="1">
      <c r="A1110" s="3">
        <f t="shared" si="46"/>
        <v>2062</v>
      </c>
      <c r="B1110" s="4">
        <f t="shared" ref="B1110:J1119" ca="1" si="92">AVERAGE(OFFSET(B$593,($A1110-$A$1110)*12,0,12,1))</f>
        <v>16.228408333333331</v>
      </c>
      <c r="C1110" s="4">
        <f t="shared" ca="1" si="92"/>
        <v>16.234658333333332</v>
      </c>
      <c r="D1110" s="4">
        <f t="shared" ca="1" si="92"/>
        <v>16.225691666666666</v>
      </c>
      <c r="E1110" s="4">
        <f t="shared" ca="1" si="92"/>
        <v>16.228175</v>
      </c>
      <c r="F1110" s="4">
        <f t="shared" ca="1" si="92"/>
        <v>16.918258333333338</v>
      </c>
      <c r="G1110" s="4">
        <f t="shared" ca="1" si="92"/>
        <v>16.047025000000001</v>
      </c>
      <c r="H1110" s="4">
        <f t="shared" ca="1" si="92"/>
        <v>16.966775000000002</v>
      </c>
      <c r="I1110" s="4">
        <f t="shared" ca="1" si="92"/>
        <v>15.883674999999998</v>
      </c>
      <c r="J1110" s="4">
        <f t="shared" ca="1" si="92"/>
        <v>15.739975000000001</v>
      </c>
      <c r="K1110" s="4"/>
      <c r="L1110" s="5">
        <f t="shared" ref="L1110:Q1119" ca="1" si="93">SUM(OFFSET(L$593,($A1110-$A$1110)*12,0,12,1))</f>
        <v>355.53689999999995</v>
      </c>
      <c r="M1110" s="5">
        <f t="shared" ca="1" si="93"/>
        <v>142.0401</v>
      </c>
      <c r="N1110" s="5">
        <f t="shared" ca="1" si="93"/>
        <v>58.217499999999994</v>
      </c>
      <c r="O1110" s="5">
        <f t="shared" ca="1" si="93"/>
        <v>4.4046000000000003</v>
      </c>
      <c r="P1110" s="5">
        <f t="shared" ca="1" si="93"/>
        <v>15.220499999999998</v>
      </c>
      <c r="Q1110" s="5">
        <f t="shared" ca="1" si="93"/>
        <v>231.81149999999997</v>
      </c>
      <c r="R1110" s="4"/>
      <c r="S1110" s="4"/>
    </row>
    <row r="1111" spans="1:19" ht="15" customHeight="1">
      <c r="A1111" s="3">
        <f t="shared" si="46"/>
        <v>2063</v>
      </c>
      <c r="B1111" s="4">
        <f t="shared" ca="1" si="92"/>
        <v>16.618066666666667</v>
      </c>
      <c r="C1111" s="4">
        <f t="shared" ca="1" si="92"/>
        <v>16.624333333333333</v>
      </c>
      <c r="D1111" s="4">
        <f t="shared" ca="1" si="92"/>
        <v>16.615358333333333</v>
      </c>
      <c r="E1111" s="4">
        <f t="shared" ca="1" si="92"/>
        <v>16.617841666666664</v>
      </c>
      <c r="F1111" s="4">
        <f t="shared" ca="1" si="92"/>
        <v>17.307933333333335</v>
      </c>
      <c r="G1111" s="4">
        <f t="shared" ca="1" si="92"/>
        <v>16.432116666666666</v>
      </c>
      <c r="H1111" s="4">
        <f t="shared" ca="1" si="92"/>
        <v>17.351866666666666</v>
      </c>
      <c r="I1111" s="4">
        <f t="shared" ca="1" si="92"/>
        <v>16.262024999999998</v>
      </c>
      <c r="J1111" s="4">
        <f t="shared" ca="1" si="92"/>
        <v>16.118133333333336</v>
      </c>
      <c r="K1111" s="4"/>
      <c r="L1111" s="5">
        <f t="shared" ca="1" si="93"/>
        <v>355.53689999999995</v>
      </c>
      <c r="M1111" s="5">
        <f t="shared" ca="1" si="93"/>
        <v>142.0401</v>
      </c>
      <c r="N1111" s="5">
        <f t="shared" ca="1" si="93"/>
        <v>58.217499999999994</v>
      </c>
      <c r="O1111" s="5">
        <f t="shared" ca="1" si="93"/>
        <v>4.4046000000000003</v>
      </c>
      <c r="P1111" s="5">
        <f t="shared" ca="1" si="93"/>
        <v>15.220499999999998</v>
      </c>
      <c r="Q1111" s="5">
        <f t="shared" ca="1" si="93"/>
        <v>231.81149999999997</v>
      </c>
      <c r="R1111" s="4"/>
      <c r="S1111" s="4"/>
    </row>
    <row r="1112" spans="1:19" ht="15" customHeight="1">
      <c r="A1112" s="3">
        <f t="shared" si="46"/>
        <v>2064</v>
      </c>
      <c r="B1112" s="4">
        <f t="shared" ca="1" si="92"/>
        <v>17.017091666666666</v>
      </c>
      <c r="C1112" s="4">
        <f t="shared" ca="1" si="92"/>
        <v>17.023358333333334</v>
      </c>
      <c r="D1112" s="4">
        <f t="shared" ca="1" si="92"/>
        <v>17.014374999999998</v>
      </c>
      <c r="E1112" s="4">
        <f t="shared" ca="1" si="92"/>
        <v>17.016858333333335</v>
      </c>
      <c r="F1112" s="4">
        <f t="shared" ca="1" si="92"/>
        <v>17.706949999999999</v>
      </c>
      <c r="G1112" s="4">
        <f t="shared" ca="1" si="92"/>
        <v>16.826449999999998</v>
      </c>
      <c r="H1112" s="4">
        <f t="shared" ca="1" si="92"/>
        <v>17.746208333333332</v>
      </c>
      <c r="I1112" s="4">
        <f t="shared" ca="1" si="92"/>
        <v>16.649466666666669</v>
      </c>
      <c r="J1112" s="4">
        <f t="shared" ca="1" si="92"/>
        <v>16.505374999999997</v>
      </c>
      <c r="K1112" s="4"/>
      <c r="L1112" s="5">
        <f t="shared" ca="1" si="93"/>
        <v>356.48229999999995</v>
      </c>
      <c r="M1112" s="5">
        <f t="shared" ca="1" si="93"/>
        <v>142.42920000000001</v>
      </c>
      <c r="N1112" s="5">
        <f t="shared" ca="1" si="93"/>
        <v>58.377000000000002</v>
      </c>
      <c r="O1112" s="5">
        <f t="shared" ca="1" si="93"/>
        <v>4.4165999999999999</v>
      </c>
      <c r="P1112" s="5">
        <f t="shared" ca="1" si="93"/>
        <v>15.262199999999998</v>
      </c>
      <c r="Q1112" s="5">
        <f t="shared" ca="1" si="93"/>
        <v>232.44659999999996</v>
      </c>
      <c r="R1112" s="4"/>
      <c r="S1112" s="4"/>
    </row>
    <row r="1113" spans="1:19" ht="15" customHeight="1">
      <c r="A1113" s="3">
        <f t="shared" si="46"/>
        <v>2065</v>
      </c>
      <c r="B1113" s="4">
        <f t="shared" ca="1" si="92"/>
        <v>17.425708333333333</v>
      </c>
      <c r="C1113" s="4">
        <f t="shared" ca="1" si="92"/>
        <v>17.431958333333331</v>
      </c>
      <c r="D1113" s="4">
        <f t="shared" ca="1" si="92"/>
        <v>17.422974999999997</v>
      </c>
      <c r="E1113" s="4">
        <f t="shared" ca="1" si="92"/>
        <v>17.425466666666665</v>
      </c>
      <c r="F1113" s="4">
        <f t="shared" ca="1" si="92"/>
        <v>18.115549999999995</v>
      </c>
      <c r="G1113" s="4">
        <f t="shared" ca="1" si="92"/>
        <v>17.230258333333335</v>
      </c>
      <c r="H1113" s="4">
        <f t="shared" ca="1" si="92"/>
        <v>18.150033333333337</v>
      </c>
      <c r="I1113" s="4">
        <f t="shared" ca="1" si="92"/>
        <v>17.046208333333333</v>
      </c>
      <c r="J1113" s="4">
        <f t="shared" ca="1" si="92"/>
        <v>16.901916666666668</v>
      </c>
      <c r="K1113" s="4"/>
      <c r="L1113" s="5">
        <f t="shared" ca="1" si="93"/>
        <v>355.53689999999995</v>
      </c>
      <c r="M1113" s="5">
        <f t="shared" ca="1" si="93"/>
        <v>142.0401</v>
      </c>
      <c r="N1113" s="5">
        <f t="shared" ca="1" si="93"/>
        <v>58.217499999999994</v>
      </c>
      <c r="O1113" s="5">
        <f t="shared" ca="1" si="93"/>
        <v>4.4046000000000003</v>
      </c>
      <c r="P1113" s="5">
        <f t="shared" ca="1" si="93"/>
        <v>15.220499999999998</v>
      </c>
      <c r="Q1113" s="5">
        <f t="shared" ca="1" si="93"/>
        <v>231.81149999999997</v>
      </c>
      <c r="R1113" s="4"/>
      <c r="S1113" s="4"/>
    </row>
    <row r="1114" spans="1:19" ht="15" customHeight="1">
      <c r="A1114" s="3">
        <f t="shared" si="46"/>
        <v>2066</v>
      </c>
      <c r="B1114" s="4">
        <f t="shared" ca="1" si="92"/>
        <v>17.844116666666668</v>
      </c>
      <c r="C1114" s="4">
        <f t="shared" ca="1" si="92"/>
        <v>17.850375000000003</v>
      </c>
      <c r="D1114" s="4">
        <f t="shared" ca="1" si="92"/>
        <v>17.841391666666667</v>
      </c>
      <c r="E1114" s="4">
        <f t="shared" ca="1" si="92"/>
        <v>17.843875000000001</v>
      </c>
      <c r="F1114" s="4">
        <f t="shared" ca="1" si="92"/>
        <v>18.533950000000001</v>
      </c>
      <c r="G1114" s="4">
        <f t="shared" ca="1" si="92"/>
        <v>17.643791666666665</v>
      </c>
      <c r="H1114" s="4">
        <f t="shared" ca="1" si="92"/>
        <v>18.563549999999999</v>
      </c>
      <c r="I1114" s="4">
        <f t="shared" ca="1" si="92"/>
        <v>17.452516666666664</v>
      </c>
      <c r="J1114" s="4">
        <f t="shared" ca="1" si="92"/>
        <v>17.308008333333337</v>
      </c>
      <c r="K1114" s="4"/>
      <c r="L1114" s="5">
        <f t="shared" ca="1" si="93"/>
        <v>355.53689999999995</v>
      </c>
      <c r="M1114" s="5">
        <f t="shared" ca="1" si="93"/>
        <v>142.0401</v>
      </c>
      <c r="N1114" s="5">
        <f t="shared" ca="1" si="93"/>
        <v>58.217499999999994</v>
      </c>
      <c r="O1114" s="5">
        <f t="shared" ca="1" si="93"/>
        <v>4.4046000000000003</v>
      </c>
      <c r="P1114" s="5">
        <f t="shared" ca="1" si="93"/>
        <v>15.220499999999998</v>
      </c>
      <c r="Q1114" s="5">
        <f t="shared" ca="1" si="93"/>
        <v>231.81149999999997</v>
      </c>
      <c r="R1114" s="4"/>
      <c r="S1114" s="4"/>
    </row>
    <row r="1115" spans="1:19" ht="15" customHeight="1">
      <c r="A1115" s="3">
        <f t="shared" si="46"/>
        <v>2067</v>
      </c>
      <c r="B1115" s="4">
        <f t="shared" ca="1" si="92"/>
        <v>18.272591666666671</v>
      </c>
      <c r="C1115" s="4">
        <f t="shared" ca="1" si="92"/>
        <v>18.278858333333332</v>
      </c>
      <c r="D1115" s="4">
        <f t="shared" ca="1" si="92"/>
        <v>18.269866666666669</v>
      </c>
      <c r="E1115" s="4">
        <f t="shared" ca="1" si="92"/>
        <v>18.272349999999999</v>
      </c>
      <c r="F1115" s="4">
        <f t="shared" ca="1" si="92"/>
        <v>18.962441666666667</v>
      </c>
      <c r="G1115" s="4">
        <f t="shared" ca="1" si="92"/>
        <v>18.067233333333331</v>
      </c>
      <c r="H1115" s="4">
        <f t="shared" ca="1" si="92"/>
        <v>18.987008333333332</v>
      </c>
      <c r="I1115" s="4">
        <f t="shared" ca="1" si="92"/>
        <v>17.868541666666665</v>
      </c>
      <c r="J1115" s="4">
        <f t="shared" ca="1" si="92"/>
        <v>17.723850000000002</v>
      </c>
      <c r="K1115" s="4"/>
      <c r="L1115" s="5">
        <f t="shared" ca="1" si="93"/>
        <v>355.53689999999995</v>
      </c>
      <c r="M1115" s="5">
        <f t="shared" ca="1" si="93"/>
        <v>142.0401</v>
      </c>
      <c r="N1115" s="5">
        <f t="shared" ca="1" si="93"/>
        <v>58.217499999999994</v>
      </c>
      <c r="O1115" s="5">
        <f t="shared" ca="1" si="93"/>
        <v>4.4046000000000003</v>
      </c>
      <c r="P1115" s="5">
        <f t="shared" ca="1" si="93"/>
        <v>15.220499999999998</v>
      </c>
      <c r="Q1115" s="5">
        <f t="shared" ca="1" si="93"/>
        <v>231.81149999999997</v>
      </c>
      <c r="R1115" s="4"/>
      <c r="S1115" s="4"/>
    </row>
    <row r="1116" spans="1:19" ht="15" customHeight="1">
      <c r="A1116" s="3">
        <f t="shared" si="46"/>
        <v>2068</v>
      </c>
      <c r="B1116" s="4">
        <f t="shared" ca="1" si="92"/>
        <v>18.711366666666667</v>
      </c>
      <c r="C1116" s="4">
        <f t="shared" ca="1" si="92"/>
        <v>18.717624999999998</v>
      </c>
      <c r="D1116" s="4">
        <f t="shared" ca="1" si="92"/>
        <v>18.708641666666669</v>
      </c>
      <c r="E1116" s="4">
        <f t="shared" ca="1" si="92"/>
        <v>18.711124999999999</v>
      </c>
      <c r="F1116" s="4">
        <f t="shared" ca="1" si="92"/>
        <v>19.401199999999999</v>
      </c>
      <c r="G1116" s="4">
        <f t="shared" ca="1" si="92"/>
        <v>18.500891666666671</v>
      </c>
      <c r="H1116" s="4">
        <f t="shared" ca="1" si="92"/>
        <v>19.420641666666668</v>
      </c>
      <c r="I1116" s="4">
        <f t="shared" ca="1" si="92"/>
        <v>18.294575000000005</v>
      </c>
      <c r="J1116" s="4">
        <f t="shared" ca="1" si="92"/>
        <v>18.149666666666672</v>
      </c>
      <c r="K1116" s="4"/>
      <c r="L1116" s="5">
        <f t="shared" ca="1" si="93"/>
        <v>356.48229999999995</v>
      </c>
      <c r="M1116" s="5">
        <f t="shared" ca="1" si="93"/>
        <v>142.42920000000001</v>
      </c>
      <c r="N1116" s="5">
        <f t="shared" ca="1" si="93"/>
        <v>58.377000000000002</v>
      </c>
      <c r="O1116" s="5">
        <f t="shared" ca="1" si="93"/>
        <v>4.4165999999999999</v>
      </c>
      <c r="P1116" s="5">
        <f t="shared" ca="1" si="93"/>
        <v>15.262199999999998</v>
      </c>
      <c r="Q1116" s="5">
        <f t="shared" ca="1" si="93"/>
        <v>232.44659999999996</v>
      </c>
      <c r="R1116" s="4"/>
      <c r="S1116" s="4"/>
    </row>
    <row r="1117" spans="1:19" ht="15" customHeight="1">
      <c r="A1117" s="3">
        <f t="shared" si="46"/>
        <v>2069</v>
      </c>
      <c r="B1117" s="4">
        <f t="shared" ca="1" si="92"/>
        <v>19.160683333333331</v>
      </c>
      <c r="C1117" s="4">
        <f t="shared" ca="1" si="92"/>
        <v>19.166941666666663</v>
      </c>
      <c r="D1117" s="4">
        <f t="shared" ca="1" si="92"/>
        <v>19.157941666666666</v>
      </c>
      <c r="E1117" s="4">
        <f t="shared" ca="1" si="92"/>
        <v>19.160433333333334</v>
      </c>
      <c r="F1117" s="4">
        <f t="shared" ca="1" si="92"/>
        <v>19.850533333333331</v>
      </c>
      <c r="G1117" s="4">
        <f t="shared" ca="1" si="92"/>
        <v>18.944933333333335</v>
      </c>
      <c r="H1117" s="4">
        <f t="shared" ca="1" si="92"/>
        <v>19.864683333333332</v>
      </c>
      <c r="I1117" s="4">
        <f t="shared" ca="1" si="92"/>
        <v>18.730875000000001</v>
      </c>
      <c r="J1117" s="4">
        <f t="shared" ca="1" si="92"/>
        <v>18.585741666666667</v>
      </c>
      <c r="K1117" s="4"/>
      <c r="L1117" s="5">
        <f t="shared" ca="1" si="93"/>
        <v>355.53689999999995</v>
      </c>
      <c r="M1117" s="5">
        <f t="shared" ca="1" si="93"/>
        <v>142.0401</v>
      </c>
      <c r="N1117" s="5">
        <f t="shared" ca="1" si="93"/>
        <v>58.217499999999994</v>
      </c>
      <c r="O1117" s="5">
        <f t="shared" ca="1" si="93"/>
        <v>4.4046000000000003</v>
      </c>
      <c r="P1117" s="5">
        <f t="shared" ca="1" si="93"/>
        <v>15.220499999999998</v>
      </c>
      <c r="Q1117" s="5">
        <f t="shared" ca="1" si="93"/>
        <v>231.81149999999997</v>
      </c>
      <c r="R1117" s="4"/>
      <c r="S1117" s="4"/>
    </row>
    <row r="1118" spans="1:19" ht="15" customHeight="1">
      <c r="A1118" s="3">
        <f t="shared" ref="A1118:A1148" si="94">A1117+1</f>
        <v>2070</v>
      </c>
      <c r="B1118" s="4">
        <f t="shared" ca="1" si="92"/>
        <v>19.620799999999999</v>
      </c>
      <c r="C1118" s="4">
        <f t="shared" ca="1" si="92"/>
        <v>19.627041666666667</v>
      </c>
      <c r="D1118" s="4">
        <f t="shared" ca="1" si="92"/>
        <v>19.618066666666664</v>
      </c>
      <c r="E1118" s="4">
        <f t="shared" ca="1" si="92"/>
        <v>19.620549999999998</v>
      </c>
      <c r="F1118" s="4">
        <f t="shared" ca="1" si="92"/>
        <v>20.310633333333332</v>
      </c>
      <c r="G1118" s="4">
        <f t="shared" ca="1" si="92"/>
        <v>19.399674999999998</v>
      </c>
      <c r="H1118" s="4">
        <f t="shared" ca="1" si="92"/>
        <v>20.319424999999999</v>
      </c>
      <c r="I1118" s="4">
        <f t="shared" ca="1" si="92"/>
        <v>19.177633333333333</v>
      </c>
      <c r="J1118" s="4">
        <f t="shared" ca="1" si="92"/>
        <v>19.032274999999998</v>
      </c>
      <c r="K1118" s="4"/>
      <c r="L1118" s="5">
        <f t="shared" ca="1" si="93"/>
        <v>355.53689999999995</v>
      </c>
      <c r="M1118" s="5">
        <f t="shared" ca="1" si="93"/>
        <v>142.0401</v>
      </c>
      <c r="N1118" s="5">
        <f t="shared" ca="1" si="93"/>
        <v>58.217499999999994</v>
      </c>
      <c r="O1118" s="5">
        <f t="shared" ca="1" si="93"/>
        <v>4.4046000000000003</v>
      </c>
      <c r="P1118" s="5">
        <f t="shared" ca="1" si="93"/>
        <v>15.220499999999998</v>
      </c>
      <c r="Q1118" s="5">
        <f t="shared" ca="1" si="93"/>
        <v>231.81149999999997</v>
      </c>
      <c r="R1118" s="4"/>
      <c r="S1118" s="4"/>
    </row>
    <row r="1119" spans="1:19" ht="15" customHeight="1">
      <c r="A1119" s="3">
        <f t="shared" si="94"/>
        <v>2071</v>
      </c>
      <c r="B1119" s="4">
        <f t="shared" ca="1" si="92"/>
        <v>20.091966666666668</v>
      </c>
      <c r="C1119" s="4">
        <f t="shared" ca="1" si="92"/>
        <v>20.098216666666666</v>
      </c>
      <c r="D1119" s="4">
        <f t="shared" ca="1" si="92"/>
        <v>20.089233333333336</v>
      </c>
      <c r="E1119" s="4">
        <f t="shared" ca="1" si="92"/>
        <v>20.091725</v>
      </c>
      <c r="F1119" s="4">
        <f t="shared" ca="1" si="92"/>
        <v>20.781783333333337</v>
      </c>
      <c r="G1119" s="4">
        <f t="shared" ca="1" si="92"/>
        <v>19.865300000000001</v>
      </c>
      <c r="H1119" s="4">
        <f t="shared" ca="1" si="92"/>
        <v>20.785075000000003</v>
      </c>
      <c r="I1119" s="4">
        <f t="shared" ca="1" si="92"/>
        <v>19.635116666666669</v>
      </c>
      <c r="J1119" s="4">
        <f t="shared" ca="1" si="92"/>
        <v>19.489525000000004</v>
      </c>
      <c r="K1119" s="4"/>
      <c r="L1119" s="5">
        <f t="shared" ca="1" si="93"/>
        <v>355.53689999999995</v>
      </c>
      <c r="M1119" s="5">
        <f t="shared" ca="1" si="93"/>
        <v>142.0401</v>
      </c>
      <c r="N1119" s="5">
        <f t="shared" ca="1" si="93"/>
        <v>58.217499999999994</v>
      </c>
      <c r="O1119" s="5">
        <f t="shared" ca="1" si="93"/>
        <v>4.4046000000000003</v>
      </c>
      <c r="P1119" s="5">
        <f t="shared" ca="1" si="93"/>
        <v>15.220499999999998</v>
      </c>
      <c r="Q1119" s="5">
        <f t="shared" ca="1" si="93"/>
        <v>231.81149999999997</v>
      </c>
      <c r="R1119" s="4"/>
      <c r="S1119" s="4"/>
    </row>
    <row r="1120" spans="1:19" ht="15" customHeight="1">
      <c r="A1120" s="3">
        <f t="shared" si="94"/>
        <v>2072</v>
      </c>
      <c r="B1120" s="4">
        <f t="shared" ref="B1120:J1129" ca="1" si="95">AVERAGE(OFFSET(B$593,($A1120-$A$1110)*12,0,12,1))</f>
        <v>20.574441666666665</v>
      </c>
      <c r="C1120" s="4">
        <f t="shared" ca="1" si="95"/>
        <v>20.580699999999997</v>
      </c>
      <c r="D1120" s="4">
        <f t="shared" ca="1" si="95"/>
        <v>20.571724999999997</v>
      </c>
      <c r="E1120" s="4">
        <f t="shared" ca="1" si="95"/>
        <v>20.574208333333331</v>
      </c>
      <c r="F1120" s="4">
        <f t="shared" ca="1" si="95"/>
        <v>21.264274999999998</v>
      </c>
      <c r="G1120" s="4">
        <f t="shared" ca="1" si="95"/>
        <v>20.342133333333333</v>
      </c>
      <c r="H1120" s="4">
        <f t="shared" ca="1" si="95"/>
        <v>21.261908333333334</v>
      </c>
      <c r="I1120" s="4">
        <f t="shared" ca="1" si="95"/>
        <v>20.103608333333337</v>
      </c>
      <c r="J1120" s="4">
        <f t="shared" ca="1" si="95"/>
        <v>19.957791666666669</v>
      </c>
      <c r="K1120" s="4"/>
      <c r="L1120" s="5">
        <f t="shared" ref="L1120:Q1129" ca="1" si="96">SUM(OFFSET(L$593,($A1120-$A$1110)*12,0,12,1))</f>
        <v>356.48229999999995</v>
      </c>
      <c r="M1120" s="5">
        <f t="shared" ca="1" si="96"/>
        <v>142.42920000000001</v>
      </c>
      <c r="N1120" s="5">
        <f t="shared" ca="1" si="96"/>
        <v>58.377000000000002</v>
      </c>
      <c r="O1120" s="5">
        <f t="shared" ca="1" si="96"/>
        <v>4.4165999999999999</v>
      </c>
      <c r="P1120" s="5">
        <f t="shared" ca="1" si="96"/>
        <v>15.262199999999998</v>
      </c>
      <c r="Q1120" s="5">
        <f t="shared" ca="1" si="96"/>
        <v>232.44659999999996</v>
      </c>
      <c r="R1120" s="4"/>
      <c r="S1120" s="4"/>
    </row>
    <row r="1121" spans="1:19" ht="15" customHeight="1">
      <c r="A1121" s="3">
        <f t="shared" si="94"/>
        <v>2073</v>
      </c>
      <c r="B1121" s="4">
        <f t="shared" ca="1" si="95"/>
        <v>21.068533333333335</v>
      </c>
      <c r="C1121" s="4">
        <f t="shared" ca="1" si="95"/>
        <v>21.074791666666666</v>
      </c>
      <c r="D1121" s="4">
        <f t="shared" ca="1" si="95"/>
        <v>21.065791666666666</v>
      </c>
      <c r="E1121" s="4">
        <f t="shared" ca="1" si="95"/>
        <v>21.068283333333333</v>
      </c>
      <c r="F1121" s="4">
        <f t="shared" ca="1" si="95"/>
        <v>21.758358333333334</v>
      </c>
      <c r="G1121" s="4">
        <f t="shared" ca="1" si="95"/>
        <v>20.830433333333335</v>
      </c>
      <c r="H1121" s="4">
        <f t="shared" ca="1" si="95"/>
        <v>21.750191666666666</v>
      </c>
      <c r="I1121" s="4">
        <f t="shared" ca="1" si="95"/>
        <v>20.583349999999999</v>
      </c>
      <c r="J1121" s="4">
        <f t="shared" ca="1" si="95"/>
        <v>20.437283333333333</v>
      </c>
      <c r="K1121" s="4"/>
      <c r="L1121" s="5">
        <f t="shared" ca="1" si="96"/>
        <v>355.53689999999995</v>
      </c>
      <c r="M1121" s="5">
        <f t="shared" ca="1" si="96"/>
        <v>142.0401</v>
      </c>
      <c r="N1121" s="5">
        <f t="shared" ca="1" si="96"/>
        <v>58.217499999999994</v>
      </c>
      <c r="O1121" s="5">
        <f t="shared" ca="1" si="96"/>
        <v>4.4046000000000003</v>
      </c>
      <c r="P1121" s="5">
        <f t="shared" ca="1" si="96"/>
        <v>15.220499999999998</v>
      </c>
      <c r="Q1121" s="5">
        <f t="shared" ca="1" si="96"/>
        <v>231.81149999999997</v>
      </c>
      <c r="R1121" s="4"/>
      <c r="S1121" s="4"/>
    </row>
    <row r="1122" spans="1:19" ht="15" customHeight="1">
      <c r="A1122" s="3">
        <f t="shared" si="94"/>
        <v>2074</v>
      </c>
      <c r="B1122" s="4">
        <f t="shared" ca="1" si="95"/>
        <v>21.574483333333333</v>
      </c>
      <c r="C1122" s="4">
        <f t="shared" ca="1" si="95"/>
        <v>21.580725000000001</v>
      </c>
      <c r="D1122" s="4">
        <f t="shared" ca="1" si="95"/>
        <v>21.571758333333332</v>
      </c>
      <c r="E1122" s="4">
        <f t="shared" ca="1" si="95"/>
        <v>21.574249999999996</v>
      </c>
      <c r="F1122" s="4">
        <f t="shared" ca="1" si="95"/>
        <v>22.264316666666662</v>
      </c>
      <c r="G1122" s="4">
        <f t="shared" ca="1" si="95"/>
        <v>21.330466666666666</v>
      </c>
      <c r="H1122" s="4">
        <f t="shared" ca="1" si="95"/>
        <v>22.250233333333338</v>
      </c>
      <c r="I1122" s="4">
        <f t="shared" ca="1" si="95"/>
        <v>21.074616666666667</v>
      </c>
      <c r="J1122" s="4">
        <f t="shared" ca="1" si="95"/>
        <v>20.928316666666667</v>
      </c>
      <c r="K1122" s="4"/>
      <c r="L1122" s="5">
        <f t="shared" ca="1" si="96"/>
        <v>355.53689999999995</v>
      </c>
      <c r="M1122" s="5">
        <f t="shared" ca="1" si="96"/>
        <v>142.0401</v>
      </c>
      <c r="N1122" s="5">
        <f t="shared" ca="1" si="96"/>
        <v>58.217499999999994</v>
      </c>
      <c r="O1122" s="5">
        <f t="shared" ca="1" si="96"/>
        <v>4.4046000000000003</v>
      </c>
      <c r="P1122" s="5">
        <f t="shared" ca="1" si="96"/>
        <v>15.220499999999998</v>
      </c>
      <c r="Q1122" s="5">
        <f t="shared" ca="1" si="96"/>
        <v>231.81149999999997</v>
      </c>
      <c r="R1122" s="4"/>
      <c r="S1122" s="4"/>
    </row>
    <row r="1123" spans="1:19" ht="15" customHeight="1">
      <c r="A1123" s="3">
        <f t="shared" si="94"/>
        <v>2075</v>
      </c>
      <c r="B1123" s="4">
        <f t="shared" ca="1" si="95"/>
        <v>22.092583333333334</v>
      </c>
      <c r="C1123" s="4">
        <f t="shared" ca="1" si="95"/>
        <v>22.098841666666669</v>
      </c>
      <c r="D1123" s="4">
        <f t="shared" ca="1" si="95"/>
        <v>22.089866666666666</v>
      </c>
      <c r="E1123" s="4">
        <f t="shared" ca="1" si="95"/>
        <v>22.092358333333333</v>
      </c>
      <c r="F1123" s="4">
        <f t="shared" ca="1" si="95"/>
        <v>22.782416666666666</v>
      </c>
      <c r="G1123" s="4">
        <f t="shared" ca="1" si="95"/>
        <v>21.842508333333338</v>
      </c>
      <c r="H1123" s="4">
        <f t="shared" ca="1" si="95"/>
        <v>22.762250000000005</v>
      </c>
      <c r="I1123" s="4">
        <f t="shared" ca="1" si="95"/>
        <v>21.577716666666671</v>
      </c>
      <c r="J1123" s="4">
        <f t="shared" ca="1" si="95"/>
        <v>21.431150000000002</v>
      </c>
      <c r="K1123" s="4"/>
      <c r="L1123" s="5">
        <f t="shared" ca="1" si="96"/>
        <v>355.53689999999995</v>
      </c>
      <c r="M1123" s="5">
        <f t="shared" ca="1" si="96"/>
        <v>142.0401</v>
      </c>
      <c r="N1123" s="5">
        <f t="shared" ca="1" si="96"/>
        <v>58.217499999999994</v>
      </c>
      <c r="O1123" s="5">
        <f t="shared" ca="1" si="96"/>
        <v>4.4046000000000003</v>
      </c>
      <c r="P1123" s="5">
        <f t="shared" ca="1" si="96"/>
        <v>15.220499999999998</v>
      </c>
      <c r="Q1123" s="5">
        <f t="shared" ca="1" si="96"/>
        <v>231.81149999999997</v>
      </c>
      <c r="R1123" s="4"/>
      <c r="S1123" s="4"/>
    </row>
    <row r="1124" spans="1:19" ht="15" customHeight="1">
      <c r="A1124" s="3">
        <f t="shared" si="94"/>
        <v>2076</v>
      </c>
      <c r="B1124" s="4">
        <f t="shared" ca="1" si="95"/>
        <v>22.623133333333339</v>
      </c>
      <c r="C1124" s="4">
        <f t="shared" ca="1" si="95"/>
        <v>22.629400000000004</v>
      </c>
      <c r="D1124" s="4">
        <f t="shared" ca="1" si="95"/>
        <v>22.620416666666667</v>
      </c>
      <c r="E1124" s="4">
        <f t="shared" ca="1" si="95"/>
        <v>22.622908333333339</v>
      </c>
      <c r="F1124" s="4">
        <f t="shared" ca="1" si="95"/>
        <v>23.312974999999998</v>
      </c>
      <c r="G1124" s="4">
        <f t="shared" ca="1" si="95"/>
        <v>22.366849999999999</v>
      </c>
      <c r="H1124" s="4">
        <f t="shared" ca="1" si="95"/>
        <v>23.286608333333334</v>
      </c>
      <c r="I1124" s="4">
        <f t="shared" ca="1" si="95"/>
        <v>22.092858333333336</v>
      </c>
      <c r="J1124" s="4">
        <f t="shared" ca="1" si="95"/>
        <v>21.946041666666662</v>
      </c>
      <c r="K1124" s="4"/>
      <c r="L1124" s="5">
        <f t="shared" ca="1" si="96"/>
        <v>356.48229999999995</v>
      </c>
      <c r="M1124" s="5">
        <f t="shared" ca="1" si="96"/>
        <v>142.42920000000001</v>
      </c>
      <c r="N1124" s="5">
        <f t="shared" ca="1" si="96"/>
        <v>58.377000000000002</v>
      </c>
      <c r="O1124" s="5">
        <f t="shared" ca="1" si="96"/>
        <v>4.4165999999999999</v>
      </c>
      <c r="P1124" s="5">
        <f t="shared" ca="1" si="96"/>
        <v>15.262199999999998</v>
      </c>
      <c r="Q1124" s="5">
        <f t="shared" ca="1" si="96"/>
        <v>232.44659999999996</v>
      </c>
      <c r="R1124" s="4"/>
      <c r="S1124" s="4"/>
    </row>
    <row r="1125" spans="1:19" ht="15" customHeight="1">
      <c r="A1125" s="3">
        <f t="shared" si="94"/>
        <v>2077</v>
      </c>
      <c r="B1125" s="4">
        <f t="shared" ca="1" si="95"/>
        <v>23.166441666666667</v>
      </c>
      <c r="C1125" s="4">
        <f t="shared" ca="1" si="95"/>
        <v>23.17271666666667</v>
      </c>
      <c r="D1125" s="4">
        <f t="shared" ca="1" si="95"/>
        <v>23.163741666666663</v>
      </c>
      <c r="E1125" s="4">
        <f t="shared" ca="1" si="95"/>
        <v>23.166225000000001</v>
      </c>
      <c r="F1125" s="4">
        <f t="shared" ca="1" si="95"/>
        <v>23.856283333333334</v>
      </c>
      <c r="G1125" s="4">
        <f t="shared" ca="1" si="95"/>
        <v>22.903791666666663</v>
      </c>
      <c r="H1125" s="4">
        <f t="shared" ca="1" si="95"/>
        <v>23.823550000000001</v>
      </c>
      <c r="I1125" s="4">
        <f t="shared" ca="1" si="95"/>
        <v>22.6204</v>
      </c>
      <c r="J1125" s="4">
        <f t="shared" ca="1" si="95"/>
        <v>22.473333333333333</v>
      </c>
      <c r="K1125" s="4"/>
      <c r="L1125" s="5">
        <f t="shared" ca="1" si="96"/>
        <v>355.53689999999995</v>
      </c>
      <c r="M1125" s="5">
        <f t="shared" ca="1" si="96"/>
        <v>142.0401</v>
      </c>
      <c r="N1125" s="5">
        <f t="shared" ca="1" si="96"/>
        <v>58.217499999999994</v>
      </c>
      <c r="O1125" s="5">
        <f t="shared" ca="1" si="96"/>
        <v>4.4046000000000003</v>
      </c>
      <c r="P1125" s="5">
        <f t="shared" ca="1" si="96"/>
        <v>15.220499999999998</v>
      </c>
      <c r="Q1125" s="5">
        <f t="shared" ca="1" si="96"/>
        <v>231.81149999999997</v>
      </c>
      <c r="R1125" s="4"/>
      <c r="S1125" s="4"/>
    </row>
    <row r="1126" spans="1:19" ht="15" customHeight="1">
      <c r="A1126" s="3">
        <f t="shared" si="94"/>
        <v>2078</v>
      </c>
      <c r="B1126" s="4">
        <f t="shared" ca="1" si="95"/>
        <v>23.722800000000003</v>
      </c>
      <c r="C1126" s="4">
        <f t="shared" ca="1" si="95"/>
        <v>23.729050000000001</v>
      </c>
      <c r="D1126" s="4">
        <f t="shared" ca="1" si="95"/>
        <v>23.720083333333335</v>
      </c>
      <c r="E1126" s="4">
        <f t="shared" ca="1" si="95"/>
        <v>23.722558333333335</v>
      </c>
      <c r="F1126" s="4">
        <f t="shared" ca="1" si="95"/>
        <v>24.412649999999996</v>
      </c>
      <c r="G1126" s="4">
        <f t="shared" ca="1" si="95"/>
        <v>23.453633333333332</v>
      </c>
      <c r="H1126" s="4">
        <f t="shared" ca="1" si="95"/>
        <v>24.373383333333337</v>
      </c>
      <c r="I1126" s="4">
        <f t="shared" ca="1" si="95"/>
        <v>23.160633333333333</v>
      </c>
      <c r="J1126" s="4">
        <f t="shared" ca="1" si="95"/>
        <v>23.013274999999997</v>
      </c>
      <c r="K1126" s="4"/>
      <c r="L1126" s="5">
        <f t="shared" ca="1" si="96"/>
        <v>355.53689999999995</v>
      </c>
      <c r="M1126" s="5">
        <f t="shared" ca="1" si="96"/>
        <v>142.0401</v>
      </c>
      <c r="N1126" s="5">
        <f t="shared" ca="1" si="96"/>
        <v>58.217499999999994</v>
      </c>
      <c r="O1126" s="5">
        <f t="shared" ca="1" si="96"/>
        <v>4.4046000000000003</v>
      </c>
      <c r="P1126" s="5">
        <f t="shared" ca="1" si="96"/>
        <v>15.220499999999998</v>
      </c>
      <c r="Q1126" s="5">
        <f t="shared" ca="1" si="96"/>
        <v>231.81149999999997</v>
      </c>
      <c r="R1126" s="4"/>
      <c r="S1126" s="4"/>
    </row>
    <row r="1127" spans="1:19" ht="15" customHeight="1">
      <c r="A1127" s="3">
        <f t="shared" si="94"/>
        <v>2079</v>
      </c>
      <c r="B1127" s="4">
        <f t="shared" ca="1" si="95"/>
        <v>24.292541666666665</v>
      </c>
      <c r="C1127" s="4">
        <f t="shared" ca="1" si="95"/>
        <v>24.298774999999996</v>
      </c>
      <c r="D1127" s="4">
        <f t="shared" ca="1" si="95"/>
        <v>24.28980833333333</v>
      </c>
      <c r="E1127" s="4">
        <f t="shared" ca="1" si="95"/>
        <v>24.292291666666667</v>
      </c>
      <c r="F1127" s="4">
        <f t="shared" ca="1" si="95"/>
        <v>24.98235</v>
      </c>
      <c r="G1127" s="4">
        <f t="shared" ca="1" si="95"/>
        <v>24.016683333333333</v>
      </c>
      <c r="H1127" s="4">
        <f t="shared" ca="1" si="95"/>
        <v>24.936441666666667</v>
      </c>
      <c r="I1127" s="4">
        <f t="shared" ca="1" si="95"/>
        <v>23.713825</v>
      </c>
      <c r="J1127" s="4">
        <f t="shared" ca="1" si="95"/>
        <v>23.566191666666665</v>
      </c>
      <c r="K1127" s="4"/>
      <c r="L1127" s="5">
        <f t="shared" ca="1" si="96"/>
        <v>355.53689999999995</v>
      </c>
      <c r="M1127" s="5">
        <f t="shared" ca="1" si="96"/>
        <v>142.0401</v>
      </c>
      <c r="N1127" s="5">
        <f t="shared" ca="1" si="96"/>
        <v>58.217499999999994</v>
      </c>
      <c r="O1127" s="5">
        <f t="shared" ca="1" si="96"/>
        <v>4.4046000000000003</v>
      </c>
      <c r="P1127" s="5">
        <f t="shared" ca="1" si="96"/>
        <v>15.220499999999998</v>
      </c>
      <c r="Q1127" s="5">
        <f t="shared" ca="1" si="96"/>
        <v>231.81149999999997</v>
      </c>
      <c r="R1127" s="4"/>
      <c r="S1127" s="4"/>
    </row>
    <row r="1128" spans="1:19" ht="15" customHeight="1">
      <c r="A1128" s="3">
        <f t="shared" si="94"/>
        <v>2080</v>
      </c>
      <c r="B1128" s="4">
        <f t="shared" ca="1" si="95"/>
        <v>24.875933333333332</v>
      </c>
      <c r="C1128" s="4">
        <f t="shared" ca="1" si="95"/>
        <v>24.882199999999997</v>
      </c>
      <c r="D1128" s="4">
        <f t="shared" ca="1" si="95"/>
        <v>24.873225000000001</v>
      </c>
      <c r="E1128" s="4">
        <f t="shared" ca="1" si="95"/>
        <v>24.875708333333332</v>
      </c>
      <c r="F1128" s="4">
        <f t="shared" ca="1" si="95"/>
        <v>25.565783333333332</v>
      </c>
      <c r="G1128" s="4">
        <f t="shared" ca="1" si="95"/>
        <v>24.593275000000002</v>
      </c>
      <c r="H1128" s="4">
        <f t="shared" ca="1" si="95"/>
        <v>25.513024999999999</v>
      </c>
      <c r="I1128" s="4">
        <f t="shared" ca="1" si="95"/>
        <v>24.280308333333334</v>
      </c>
      <c r="J1128" s="4">
        <f t="shared" ca="1" si="95"/>
        <v>24.132400000000001</v>
      </c>
      <c r="K1128" s="4"/>
      <c r="L1128" s="5">
        <f t="shared" ca="1" si="96"/>
        <v>356.48229999999995</v>
      </c>
      <c r="M1128" s="5">
        <f t="shared" ca="1" si="96"/>
        <v>142.42920000000001</v>
      </c>
      <c r="N1128" s="5">
        <f t="shared" ca="1" si="96"/>
        <v>58.377000000000002</v>
      </c>
      <c r="O1128" s="5">
        <f t="shared" ca="1" si="96"/>
        <v>4.4165999999999999</v>
      </c>
      <c r="P1128" s="5">
        <f t="shared" ca="1" si="96"/>
        <v>15.262199999999998</v>
      </c>
      <c r="Q1128" s="5">
        <f t="shared" ca="1" si="96"/>
        <v>232.44659999999996</v>
      </c>
      <c r="R1128" s="4"/>
      <c r="S1128" s="4"/>
    </row>
    <row r="1129" spans="1:19" ht="15" customHeight="1">
      <c r="A1129" s="3">
        <f t="shared" si="94"/>
        <v>2081</v>
      </c>
      <c r="B1129" s="4">
        <f t="shared" ca="1" si="95"/>
        <v>25.473366666666664</v>
      </c>
      <c r="C1129" s="4">
        <f t="shared" ca="1" si="95"/>
        <v>25.479633333333336</v>
      </c>
      <c r="D1129" s="4">
        <f t="shared" ca="1" si="95"/>
        <v>25.470658333333336</v>
      </c>
      <c r="E1129" s="4">
        <f t="shared" ca="1" si="95"/>
        <v>25.473141666666667</v>
      </c>
      <c r="F1129" s="4">
        <f t="shared" ca="1" si="95"/>
        <v>26.16321666666666</v>
      </c>
      <c r="G1129" s="4">
        <f t="shared" ca="1" si="95"/>
        <v>25.183691666666661</v>
      </c>
      <c r="H1129" s="4">
        <f t="shared" ca="1" si="95"/>
        <v>26.103466666666662</v>
      </c>
      <c r="I1129" s="4">
        <f t="shared" ca="1" si="95"/>
        <v>24.860408333333329</v>
      </c>
      <c r="J1129" s="4">
        <f t="shared" ca="1" si="95"/>
        <v>24.712199999999999</v>
      </c>
      <c r="K1129" s="4"/>
      <c r="L1129" s="5">
        <f t="shared" ca="1" si="96"/>
        <v>355.53689999999995</v>
      </c>
      <c r="M1129" s="5">
        <f t="shared" ca="1" si="96"/>
        <v>142.0401</v>
      </c>
      <c r="N1129" s="5">
        <f t="shared" ca="1" si="96"/>
        <v>58.217499999999994</v>
      </c>
      <c r="O1129" s="5">
        <f t="shared" ca="1" si="96"/>
        <v>4.4046000000000003</v>
      </c>
      <c r="P1129" s="5">
        <f t="shared" ca="1" si="96"/>
        <v>15.220499999999998</v>
      </c>
      <c r="Q1129" s="5">
        <f t="shared" ca="1" si="96"/>
        <v>231.81149999999997</v>
      </c>
      <c r="R1129" s="4"/>
      <c r="S1129" s="4"/>
    </row>
    <row r="1130" spans="1:19" ht="15" customHeight="1">
      <c r="A1130" s="3">
        <f t="shared" si="94"/>
        <v>2082</v>
      </c>
      <c r="B1130" s="4">
        <f t="shared" ref="B1130:J1139" ca="1" si="97">AVERAGE(OFFSET(B$593,($A1130-$A$1110)*12,0,12,1))</f>
        <v>26.085166666666666</v>
      </c>
      <c r="C1130" s="4">
        <f t="shared" ca="1" si="97"/>
        <v>26.091416666666664</v>
      </c>
      <c r="D1130" s="4">
        <f t="shared" ca="1" si="97"/>
        <v>26.082424999999997</v>
      </c>
      <c r="E1130" s="4">
        <f t="shared" ca="1" si="97"/>
        <v>26.084916666666668</v>
      </c>
      <c r="F1130" s="4">
        <f t="shared" ca="1" si="97"/>
        <v>26.775008333333336</v>
      </c>
      <c r="G1130" s="4">
        <f t="shared" ca="1" si="97"/>
        <v>25.788341666666664</v>
      </c>
      <c r="H1130" s="4">
        <f t="shared" ca="1" si="97"/>
        <v>26.708100000000002</v>
      </c>
      <c r="I1130" s="4">
        <f t="shared" ca="1" si="97"/>
        <v>25.454449999999998</v>
      </c>
      <c r="J1130" s="4">
        <f t="shared" ca="1" si="97"/>
        <v>25.305949999999999</v>
      </c>
      <c r="K1130" s="4"/>
      <c r="L1130" s="5">
        <f t="shared" ref="L1130:Q1139" ca="1" si="98">SUM(OFFSET(L$593,($A1130-$A$1110)*12,0,12,1))</f>
        <v>355.53689999999995</v>
      </c>
      <c r="M1130" s="5">
        <f t="shared" ca="1" si="98"/>
        <v>142.0401</v>
      </c>
      <c r="N1130" s="5">
        <f t="shared" ca="1" si="98"/>
        <v>58.217499999999994</v>
      </c>
      <c r="O1130" s="5">
        <f t="shared" ca="1" si="98"/>
        <v>4.4046000000000003</v>
      </c>
      <c r="P1130" s="5">
        <f t="shared" ca="1" si="98"/>
        <v>15.220499999999998</v>
      </c>
      <c r="Q1130" s="5">
        <f t="shared" ca="1" si="98"/>
        <v>231.81149999999997</v>
      </c>
      <c r="R1130" s="4"/>
      <c r="S1130" s="4"/>
    </row>
    <row r="1131" spans="1:19" ht="15" customHeight="1">
      <c r="A1131" s="3">
        <f t="shared" si="94"/>
        <v>2083</v>
      </c>
      <c r="B1131" s="4">
        <f t="shared" ca="1" si="97"/>
        <v>26.711650000000002</v>
      </c>
      <c r="C1131" s="4">
        <f t="shared" ca="1" si="97"/>
        <v>26.71790833333333</v>
      </c>
      <c r="D1131" s="4">
        <f t="shared" ca="1" si="97"/>
        <v>26.708950000000002</v>
      </c>
      <c r="E1131" s="4">
        <f t="shared" ca="1" si="97"/>
        <v>26.711425000000002</v>
      </c>
      <c r="F1131" s="4">
        <f t="shared" ca="1" si="97"/>
        <v>27.401508333333336</v>
      </c>
      <c r="G1131" s="4">
        <f t="shared" ca="1" si="97"/>
        <v>26.407475000000005</v>
      </c>
      <c r="H1131" s="4">
        <f t="shared" ca="1" si="97"/>
        <v>27.327249999999996</v>
      </c>
      <c r="I1131" s="4">
        <f t="shared" ca="1" si="97"/>
        <v>26.062758333333331</v>
      </c>
      <c r="J1131" s="4">
        <f t="shared" ca="1" si="97"/>
        <v>25.913966666666667</v>
      </c>
      <c r="K1131" s="4"/>
      <c r="L1131" s="5">
        <f t="shared" ca="1" si="98"/>
        <v>355.53689999999995</v>
      </c>
      <c r="M1131" s="5">
        <f t="shared" ca="1" si="98"/>
        <v>142.0401</v>
      </c>
      <c r="N1131" s="5">
        <f t="shared" ca="1" si="98"/>
        <v>58.217499999999994</v>
      </c>
      <c r="O1131" s="5">
        <f t="shared" ca="1" si="98"/>
        <v>4.4046000000000003</v>
      </c>
      <c r="P1131" s="5">
        <f t="shared" ca="1" si="98"/>
        <v>15.220499999999998</v>
      </c>
      <c r="Q1131" s="5">
        <f t="shared" ca="1" si="98"/>
        <v>231.81149999999997</v>
      </c>
      <c r="R1131" s="4"/>
      <c r="S1131" s="4"/>
    </row>
    <row r="1132" spans="1:19" ht="15" customHeight="1">
      <c r="A1132" s="3">
        <f t="shared" si="94"/>
        <v>2084</v>
      </c>
      <c r="B1132" s="4">
        <f t="shared" ca="1" si="97"/>
        <v>27.353200000000001</v>
      </c>
      <c r="C1132" s="4">
        <f t="shared" ca="1" si="97"/>
        <v>27.359458333333333</v>
      </c>
      <c r="D1132" s="4">
        <f t="shared" ca="1" si="97"/>
        <v>27.350449999999999</v>
      </c>
      <c r="E1132" s="4">
        <f t="shared" ca="1" si="97"/>
        <v>27.352941666666663</v>
      </c>
      <c r="F1132" s="4">
        <f t="shared" ca="1" si="97"/>
        <v>28.043041666666664</v>
      </c>
      <c r="G1132" s="4">
        <f t="shared" ca="1" si="97"/>
        <v>27.041508333333336</v>
      </c>
      <c r="H1132" s="4">
        <f t="shared" ca="1" si="97"/>
        <v>27.961266666666663</v>
      </c>
      <c r="I1132" s="4">
        <f t="shared" ca="1" si="97"/>
        <v>26.685691666666667</v>
      </c>
      <c r="J1132" s="4">
        <f t="shared" ca="1" si="97"/>
        <v>26.536566666666669</v>
      </c>
      <c r="K1132" s="4"/>
      <c r="L1132" s="5">
        <f t="shared" ca="1" si="98"/>
        <v>356.48229999999995</v>
      </c>
      <c r="M1132" s="5">
        <f t="shared" ca="1" si="98"/>
        <v>142.42920000000001</v>
      </c>
      <c r="N1132" s="5">
        <f t="shared" ca="1" si="98"/>
        <v>58.377000000000002</v>
      </c>
      <c r="O1132" s="5">
        <f t="shared" ca="1" si="98"/>
        <v>4.4165999999999999</v>
      </c>
      <c r="P1132" s="5">
        <f t="shared" ca="1" si="98"/>
        <v>15.262199999999998</v>
      </c>
      <c r="Q1132" s="5">
        <f t="shared" ca="1" si="98"/>
        <v>232.44659999999996</v>
      </c>
      <c r="R1132" s="4"/>
      <c r="S1132" s="4"/>
    </row>
    <row r="1133" spans="1:19" ht="15" customHeight="1">
      <c r="A1133" s="3">
        <f t="shared" si="94"/>
        <v>2085</v>
      </c>
      <c r="B1133" s="4">
        <f t="shared" ca="1" si="97"/>
        <v>28.010149999999999</v>
      </c>
      <c r="C1133" s="4">
        <f t="shared" ca="1" si="97"/>
        <v>28.016400000000001</v>
      </c>
      <c r="D1133" s="4">
        <f t="shared" ca="1" si="97"/>
        <v>28.007425000000001</v>
      </c>
      <c r="E1133" s="4">
        <f t="shared" ca="1" si="97"/>
        <v>28.009916666666669</v>
      </c>
      <c r="F1133" s="4">
        <f t="shared" ca="1" si="97"/>
        <v>28.699991666666673</v>
      </c>
      <c r="G1133" s="4">
        <f t="shared" ca="1" si="97"/>
        <v>27.690783333333332</v>
      </c>
      <c r="H1133" s="4">
        <f t="shared" ca="1" si="97"/>
        <v>28.610541666666673</v>
      </c>
      <c r="I1133" s="4">
        <f t="shared" ca="1" si="97"/>
        <v>27.323566666666665</v>
      </c>
      <c r="J1133" s="4">
        <f t="shared" ca="1" si="97"/>
        <v>27.174150000000008</v>
      </c>
      <c r="K1133" s="4"/>
      <c r="L1133" s="5">
        <f t="shared" ca="1" si="98"/>
        <v>355.53689999999995</v>
      </c>
      <c r="M1133" s="5">
        <f t="shared" ca="1" si="98"/>
        <v>142.0401</v>
      </c>
      <c r="N1133" s="5">
        <f t="shared" ca="1" si="98"/>
        <v>58.217499999999994</v>
      </c>
      <c r="O1133" s="5">
        <f t="shared" ca="1" si="98"/>
        <v>4.4046000000000003</v>
      </c>
      <c r="P1133" s="5">
        <f t="shared" ca="1" si="98"/>
        <v>15.220499999999998</v>
      </c>
      <c r="Q1133" s="5">
        <f t="shared" ca="1" si="98"/>
        <v>231.81149999999997</v>
      </c>
      <c r="R1133" s="4"/>
      <c r="S1133" s="4"/>
    </row>
    <row r="1134" spans="1:19" ht="15" customHeight="1">
      <c r="A1134" s="3">
        <f t="shared" si="94"/>
        <v>2086</v>
      </c>
      <c r="B1134" s="4">
        <f t="shared" ca="1" si="97"/>
        <v>28.682891666666666</v>
      </c>
      <c r="C1134" s="4">
        <f t="shared" ca="1" si="97"/>
        <v>28.689150000000001</v>
      </c>
      <c r="D1134" s="4">
        <f t="shared" ca="1" si="97"/>
        <v>28.680175000000002</v>
      </c>
      <c r="E1134" s="4">
        <f t="shared" ca="1" si="97"/>
        <v>28.682666666666673</v>
      </c>
      <c r="F1134" s="4">
        <f t="shared" ca="1" si="97"/>
        <v>29.37274166666667</v>
      </c>
      <c r="G1134" s="4">
        <f t="shared" ca="1" si="97"/>
        <v>28.355625</v>
      </c>
      <c r="H1134" s="4">
        <f t="shared" ca="1" si="97"/>
        <v>29.275400000000001</v>
      </c>
      <c r="I1134" s="4">
        <f t="shared" ca="1" si="97"/>
        <v>27.976800000000001</v>
      </c>
      <c r="J1134" s="4">
        <f t="shared" ca="1" si="97"/>
        <v>27.827033333333336</v>
      </c>
      <c r="K1134" s="4"/>
      <c r="L1134" s="5">
        <f t="shared" ca="1" si="98"/>
        <v>355.53689999999995</v>
      </c>
      <c r="M1134" s="5">
        <f t="shared" ca="1" si="98"/>
        <v>142.0401</v>
      </c>
      <c r="N1134" s="5">
        <f t="shared" ca="1" si="98"/>
        <v>58.217499999999994</v>
      </c>
      <c r="O1134" s="5">
        <f t="shared" ca="1" si="98"/>
        <v>4.4046000000000003</v>
      </c>
      <c r="P1134" s="5">
        <f t="shared" ca="1" si="98"/>
        <v>15.220499999999998</v>
      </c>
      <c r="Q1134" s="5">
        <f t="shared" ca="1" si="98"/>
        <v>231.81149999999997</v>
      </c>
      <c r="R1134" s="4"/>
      <c r="S1134" s="4"/>
    </row>
    <row r="1135" spans="1:19" ht="15" customHeight="1">
      <c r="A1135" s="3">
        <f t="shared" si="94"/>
        <v>2087</v>
      </c>
      <c r="B1135" s="4">
        <f t="shared" ca="1" si="97"/>
        <v>29.371791666666667</v>
      </c>
      <c r="C1135" s="4">
        <f t="shared" ca="1" si="97"/>
        <v>29.378041666666665</v>
      </c>
      <c r="D1135" s="4">
        <f t="shared" ca="1" si="97"/>
        <v>29.369075000000006</v>
      </c>
      <c r="E1135" s="4">
        <f t="shared" ca="1" si="97"/>
        <v>29.371558333333329</v>
      </c>
      <c r="F1135" s="4">
        <f t="shared" ca="1" si="97"/>
        <v>30.061633333333333</v>
      </c>
      <c r="G1135" s="4">
        <f t="shared" ca="1" si="97"/>
        <v>29.036466666666666</v>
      </c>
      <c r="H1135" s="4">
        <f t="shared" ca="1" si="97"/>
        <v>29.95623333333333</v>
      </c>
      <c r="I1135" s="4">
        <f t="shared" ca="1" si="97"/>
        <v>28.645716666666669</v>
      </c>
      <c r="J1135" s="4">
        <f t="shared" ca="1" si="97"/>
        <v>28.495616666666667</v>
      </c>
      <c r="K1135" s="4"/>
      <c r="L1135" s="5">
        <f t="shared" ca="1" si="98"/>
        <v>355.53689999999995</v>
      </c>
      <c r="M1135" s="5">
        <f t="shared" ca="1" si="98"/>
        <v>142.0401</v>
      </c>
      <c r="N1135" s="5">
        <f t="shared" ca="1" si="98"/>
        <v>58.217499999999994</v>
      </c>
      <c r="O1135" s="5">
        <f t="shared" ca="1" si="98"/>
        <v>4.4046000000000003</v>
      </c>
      <c r="P1135" s="5">
        <f t="shared" ca="1" si="98"/>
        <v>15.220499999999998</v>
      </c>
      <c r="Q1135" s="5">
        <f t="shared" ca="1" si="98"/>
        <v>231.81149999999997</v>
      </c>
      <c r="R1135" s="4"/>
      <c r="S1135" s="4"/>
    </row>
    <row r="1136" spans="1:19" ht="15" customHeight="1">
      <c r="A1136" s="3">
        <f t="shared" si="94"/>
        <v>2088</v>
      </c>
      <c r="B1136" s="4">
        <f t="shared" ca="1" si="97"/>
        <v>30.07726666666667</v>
      </c>
      <c r="C1136" s="4">
        <f t="shared" ca="1" si="97"/>
        <v>30.083500000000001</v>
      </c>
      <c r="D1136" s="4">
        <f t="shared" ca="1" si="97"/>
        <v>30.074525000000005</v>
      </c>
      <c r="E1136" s="4">
        <f t="shared" ca="1" si="97"/>
        <v>30.077008333333335</v>
      </c>
      <c r="F1136" s="4">
        <f t="shared" ca="1" si="97"/>
        <v>30.767075000000002</v>
      </c>
      <c r="G1136" s="4">
        <f t="shared" ca="1" si="97"/>
        <v>29.733658333333338</v>
      </c>
      <c r="H1136" s="4">
        <f t="shared" ca="1" si="97"/>
        <v>30.653416666666669</v>
      </c>
      <c r="I1136" s="4">
        <f t="shared" ca="1" si="97"/>
        <v>29.330700000000004</v>
      </c>
      <c r="J1136" s="4">
        <f t="shared" ca="1" si="97"/>
        <v>29.180258333333331</v>
      </c>
      <c r="K1136" s="4"/>
      <c r="L1136" s="5">
        <f t="shared" ca="1" si="98"/>
        <v>356.48229999999995</v>
      </c>
      <c r="M1136" s="5">
        <f t="shared" ca="1" si="98"/>
        <v>142.42920000000001</v>
      </c>
      <c r="N1136" s="5">
        <f t="shared" ca="1" si="98"/>
        <v>58.377000000000002</v>
      </c>
      <c r="O1136" s="5">
        <f t="shared" ca="1" si="98"/>
        <v>4.4165999999999999</v>
      </c>
      <c r="P1136" s="5">
        <f t="shared" ca="1" si="98"/>
        <v>15.262199999999998</v>
      </c>
      <c r="Q1136" s="5">
        <f t="shared" ca="1" si="98"/>
        <v>232.44659999999996</v>
      </c>
      <c r="R1136" s="4"/>
      <c r="S1136" s="4"/>
    </row>
    <row r="1137" spans="1:19" ht="15" customHeight="1">
      <c r="A1137" s="3">
        <f t="shared" si="94"/>
        <v>2089</v>
      </c>
      <c r="B1137" s="4">
        <f t="shared" ca="1" si="97"/>
        <v>30.799666666666663</v>
      </c>
      <c r="C1137" s="4">
        <f t="shared" ca="1" si="97"/>
        <v>30.805899999999998</v>
      </c>
      <c r="D1137" s="4">
        <f t="shared" ca="1" si="97"/>
        <v>30.796941666666665</v>
      </c>
      <c r="E1137" s="4">
        <f t="shared" ca="1" si="97"/>
        <v>30.799416666666669</v>
      </c>
      <c r="F1137" s="4">
        <f t="shared" ca="1" si="97"/>
        <v>31.489508333333333</v>
      </c>
      <c r="G1137" s="4">
        <f t="shared" ca="1" si="97"/>
        <v>30.447608333333331</v>
      </c>
      <c r="H1137" s="4">
        <f t="shared" ca="1" si="97"/>
        <v>31.367366666666669</v>
      </c>
      <c r="I1137" s="4">
        <f t="shared" ca="1" si="97"/>
        <v>30.032149999999998</v>
      </c>
      <c r="J1137" s="4">
        <f t="shared" ca="1" si="97"/>
        <v>29.881358333333338</v>
      </c>
      <c r="K1137" s="4"/>
      <c r="L1137" s="5">
        <f t="shared" ca="1" si="98"/>
        <v>355.53689999999995</v>
      </c>
      <c r="M1137" s="5">
        <f t="shared" ca="1" si="98"/>
        <v>142.0401</v>
      </c>
      <c r="N1137" s="5">
        <f t="shared" ca="1" si="98"/>
        <v>58.217499999999994</v>
      </c>
      <c r="O1137" s="5">
        <f t="shared" ca="1" si="98"/>
        <v>4.4046000000000003</v>
      </c>
      <c r="P1137" s="5">
        <f t="shared" ca="1" si="98"/>
        <v>15.220499999999998</v>
      </c>
      <c r="Q1137" s="5">
        <f t="shared" ca="1" si="98"/>
        <v>231.81149999999997</v>
      </c>
      <c r="R1137" s="4"/>
      <c r="S1137" s="4"/>
    </row>
    <row r="1138" spans="1:19" ht="15" customHeight="1">
      <c r="A1138" s="3">
        <f t="shared" si="94"/>
        <v>2090</v>
      </c>
      <c r="B1138" s="4">
        <f t="shared" ca="1" si="97"/>
        <v>31.539408333333331</v>
      </c>
      <c r="C1138" s="4">
        <f t="shared" ca="1" si="97"/>
        <v>31.545683333333333</v>
      </c>
      <c r="D1138" s="4">
        <f t="shared" ca="1" si="97"/>
        <v>31.5367</v>
      </c>
      <c r="E1138" s="4">
        <f t="shared" ca="1" si="97"/>
        <v>31.539183333333327</v>
      </c>
      <c r="F1138" s="4">
        <f t="shared" ca="1" si="97"/>
        <v>32.229291666666661</v>
      </c>
      <c r="G1138" s="4">
        <f t="shared" ca="1" si="97"/>
        <v>31.178708333333333</v>
      </c>
      <c r="H1138" s="4">
        <f t="shared" ca="1" si="97"/>
        <v>32.098475000000001</v>
      </c>
      <c r="I1138" s="4">
        <f t="shared" ca="1" si="97"/>
        <v>30.750458333333331</v>
      </c>
      <c r="J1138" s="4">
        <f t="shared" ca="1" si="97"/>
        <v>30.599291666666669</v>
      </c>
      <c r="K1138" s="4"/>
      <c r="L1138" s="5">
        <f t="shared" ca="1" si="98"/>
        <v>355.53689999999995</v>
      </c>
      <c r="M1138" s="5">
        <f t="shared" ca="1" si="98"/>
        <v>142.0401</v>
      </c>
      <c r="N1138" s="5">
        <f t="shared" ca="1" si="98"/>
        <v>58.217499999999994</v>
      </c>
      <c r="O1138" s="5">
        <f t="shared" ca="1" si="98"/>
        <v>4.4046000000000003</v>
      </c>
      <c r="P1138" s="5">
        <f t="shared" ca="1" si="98"/>
        <v>15.220499999999998</v>
      </c>
      <c r="Q1138" s="5">
        <f t="shared" ca="1" si="98"/>
        <v>231.81149999999997</v>
      </c>
      <c r="R1138" s="4"/>
      <c r="S1138" s="4"/>
    </row>
    <row r="1139" spans="1:19" ht="15" customHeight="1">
      <c r="A1139" s="3">
        <f t="shared" si="94"/>
        <v>2091</v>
      </c>
      <c r="B1139" s="4">
        <f t="shared" ca="1" si="97"/>
        <v>32.296958333333336</v>
      </c>
      <c r="C1139" s="4">
        <f t="shared" ca="1" si="97"/>
        <v>32.303225000000005</v>
      </c>
      <c r="D1139" s="4">
        <f t="shared" ca="1" si="97"/>
        <v>32.294258333333325</v>
      </c>
      <c r="E1139" s="4">
        <f t="shared" ca="1" si="97"/>
        <v>32.296741666666669</v>
      </c>
      <c r="F1139" s="4">
        <f t="shared" ca="1" si="97"/>
        <v>32.986808333333336</v>
      </c>
      <c r="G1139" s="4">
        <f t="shared" ca="1" si="97"/>
        <v>31.927383333333328</v>
      </c>
      <c r="H1139" s="4">
        <f t="shared" ca="1" si="97"/>
        <v>32.847149999999999</v>
      </c>
      <c r="I1139" s="4">
        <f t="shared" ca="1" si="97"/>
        <v>31.486000000000001</v>
      </c>
      <c r="J1139" s="4">
        <f t="shared" ca="1" si="97"/>
        <v>31.334474999999998</v>
      </c>
      <c r="K1139" s="4"/>
      <c r="L1139" s="5">
        <f t="shared" ca="1" si="98"/>
        <v>355.53689999999995</v>
      </c>
      <c r="M1139" s="5">
        <f t="shared" ca="1" si="98"/>
        <v>142.0401</v>
      </c>
      <c r="N1139" s="5">
        <f t="shared" ca="1" si="98"/>
        <v>58.217499999999994</v>
      </c>
      <c r="O1139" s="5">
        <f t="shared" ca="1" si="98"/>
        <v>4.4046000000000003</v>
      </c>
      <c r="P1139" s="5">
        <f t="shared" ca="1" si="98"/>
        <v>15.220499999999998</v>
      </c>
      <c r="Q1139" s="5">
        <f t="shared" ca="1" si="98"/>
        <v>231.81149999999997</v>
      </c>
      <c r="R1139" s="4"/>
      <c r="S1139" s="4"/>
    </row>
    <row r="1140" spans="1:19" ht="15" customHeight="1">
      <c r="A1140" s="3">
        <f t="shared" si="94"/>
        <v>2092</v>
      </c>
      <c r="B1140" s="4">
        <f t="shared" ref="B1140:J1148" ca="1" si="99">AVERAGE(OFFSET(B$593,($A1140-$A$1110)*12,0,12,1))</f>
        <v>33.072708333333331</v>
      </c>
      <c r="C1140" s="4">
        <f t="shared" ca="1" si="99"/>
        <v>33.078966666666673</v>
      </c>
      <c r="D1140" s="4">
        <f t="shared" ca="1" si="99"/>
        <v>33.069991666666667</v>
      </c>
      <c r="E1140" s="4">
        <f t="shared" ca="1" si="99"/>
        <v>33.072483333333331</v>
      </c>
      <c r="F1140" s="4">
        <f t="shared" ca="1" si="99"/>
        <v>33.762558333333331</v>
      </c>
      <c r="G1140" s="4">
        <f t="shared" ca="1" si="99"/>
        <v>32.694049999999997</v>
      </c>
      <c r="H1140" s="4">
        <f t="shared" ca="1" si="99"/>
        <v>33.613816666666672</v>
      </c>
      <c r="I1140" s="4">
        <f t="shared" ca="1" si="99"/>
        <v>32.239258333333332</v>
      </c>
      <c r="J1140" s="4">
        <f t="shared" ca="1" si="99"/>
        <v>32.087358333333334</v>
      </c>
      <c r="K1140" s="4"/>
      <c r="L1140" s="5">
        <f t="shared" ref="L1140:Q1148" ca="1" si="100">SUM(OFFSET(L$593,($A1140-$A$1110)*12,0,12,1))</f>
        <v>356.48229999999995</v>
      </c>
      <c r="M1140" s="5">
        <f t="shared" ca="1" si="100"/>
        <v>142.42920000000001</v>
      </c>
      <c r="N1140" s="5">
        <f t="shared" ca="1" si="100"/>
        <v>58.377000000000002</v>
      </c>
      <c r="O1140" s="5">
        <f t="shared" ca="1" si="100"/>
        <v>4.4165999999999999</v>
      </c>
      <c r="P1140" s="5">
        <f t="shared" ca="1" si="100"/>
        <v>15.262199999999998</v>
      </c>
      <c r="Q1140" s="5">
        <f t="shared" ca="1" si="100"/>
        <v>232.44659999999996</v>
      </c>
      <c r="R1140" s="4"/>
      <c r="S1140" s="4"/>
    </row>
    <row r="1141" spans="1:19" ht="15" customHeight="1">
      <c r="A1141" s="3">
        <f t="shared" si="94"/>
        <v>2093</v>
      </c>
      <c r="B1141" s="4">
        <f t="shared" ca="1" si="99"/>
        <v>33.867083333333333</v>
      </c>
      <c r="C1141" s="4">
        <f t="shared" ca="1" si="99"/>
        <v>33.873333333333328</v>
      </c>
      <c r="D1141" s="4">
        <f t="shared" ca="1" si="99"/>
        <v>33.864358333333335</v>
      </c>
      <c r="E1141" s="4">
        <f t="shared" ca="1" si="99"/>
        <v>33.866849999999999</v>
      </c>
      <c r="F1141" s="4">
        <f t="shared" ca="1" si="99"/>
        <v>34.556925</v>
      </c>
      <c r="G1141" s="4">
        <f t="shared" ca="1" si="99"/>
        <v>33.479125000000003</v>
      </c>
      <c r="H1141" s="4">
        <f t="shared" ca="1" si="99"/>
        <v>34.39888333333333</v>
      </c>
      <c r="I1141" s="4">
        <f t="shared" ca="1" si="99"/>
        <v>33.010591666666663</v>
      </c>
      <c r="J1141" s="4">
        <f t="shared" ca="1" si="99"/>
        <v>32.858299999999993</v>
      </c>
      <c r="K1141" s="4"/>
      <c r="L1141" s="5">
        <f t="shared" ca="1" si="100"/>
        <v>355.53689999999995</v>
      </c>
      <c r="M1141" s="5">
        <f t="shared" ca="1" si="100"/>
        <v>142.0401</v>
      </c>
      <c r="N1141" s="5">
        <f t="shared" ca="1" si="100"/>
        <v>58.217499999999994</v>
      </c>
      <c r="O1141" s="5">
        <f t="shared" ca="1" si="100"/>
        <v>4.4046000000000003</v>
      </c>
      <c r="P1141" s="5">
        <f t="shared" ca="1" si="100"/>
        <v>15.220499999999998</v>
      </c>
      <c r="Q1141" s="5">
        <f t="shared" ca="1" si="100"/>
        <v>231.81149999999997</v>
      </c>
      <c r="R1141" s="4"/>
      <c r="S1141" s="4"/>
    </row>
    <row r="1142" spans="1:19" ht="15" customHeight="1">
      <c r="A1142" s="3">
        <f t="shared" si="94"/>
        <v>2094</v>
      </c>
      <c r="B1142" s="4">
        <f t="shared" ca="1" si="99"/>
        <v>34.680558333333337</v>
      </c>
      <c r="C1142" s="4">
        <f t="shared" ca="1" si="99"/>
        <v>34.686816666666665</v>
      </c>
      <c r="D1142" s="4">
        <f t="shared" ca="1" si="99"/>
        <v>34.677833333333332</v>
      </c>
      <c r="E1142" s="4">
        <f t="shared" ca="1" si="99"/>
        <v>34.68031666666667</v>
      </c>
      <c r="F1142" s="4">
        <f t="shared" ca="1" si="99"/>
        <v>35.370383333333329</v>
      </c>
      <c r="G1142" s="4">
        <f t="shared" ca="1" si="99"/>
        <v>34.28306666666667</v>
      </c>
      <c r="H1142" s="4">
        <f t="shared" ca="1" si="99"/>
        <v>35.202824999999997</v>
      </c>
      <c r="I1142" s="4">
        <f t="shared" ca="1" si="99"/>
        <v>33.800433333333331</v>
      </c>
      <c r="J1142" s="4">
        <f t="shared" ca="1" si="99"/>
        <v>33.647775000000003</v>
      </c>
      <c r="K1142" s="4"/>
      <c r="L1142" s="5">
        <f t="shared" ca="1" si="100"/>
        <v>355.53689999999995</v>
      </c>
      <c r="M1142" s="5">
        <f t="shared" ca="1" si="100"/>
        <v>142.0401</v>
      </c>
      <c r="N1142" s="5">
        <f t="shared" ca="1" si="100"/>
        <v>58.217499999999994</v>
      </c>
      <c r="O1142" s="5">
        <f t="shared" ca="1" si="100"/>
        <v>4.4046000000000003</v>
      </c>
      <c r="P1142" s="5">
        <f t="shared" ca="1" si="100"/>
        <v>15.220499999999998</v>
      </c>
      <c r="Q1142" s="5">
        <f t="shared" ca="1" si="100"/>
        <v>231.81149999999997</v>
      </c>
      <c r="R1142" s="4"/>
      <c r="S1142" s="4"/>
    </row>
    <row r="1143" spans="1:19" ht="15" customHeight="1">
      <c r="A1143" s="3">
        <f t="shared" si="94"/>
        <v>2095</v>
      </c>
      <c r="B1143" s="4">
        <f t="shared" ca="1" si="99"/>
        <v>35.51358333333333</v>
      </c>
      <c r="C1143" s="4">
        <f t="shared" ca="1" si="99"/>
        <v>35.519816666666671</v>
      </c>
      <c r="D1143" s="4">
        <f t="shared" ca="1" si="99"/>
        <v>35.510841666666664</v>
      </c>
      <c r="E1143" s="4">
        <f t="shared" ca="1" si="99"/>
        <v>35.513324999999995</v>
      </c>
      <c r="F1143" s="4">
        <f t="shared" ca="1" si="99"/>
        <v>36.203391666666668</v>
      </c>
      <c r="G1143" s="4">
        <f t="shared" ca="1" si="99"/>
        <v>35.106316666666665</v>
      </c>
      <c r="H1143" s="4">
        <f t="shared" ca="1" si="99"/>
        <v>36.026091666666666</v>
      </c>
      <c r="I1143" s="4">
        <f t="shared" ca="1" si="99"/>
        <v>34.609283333333345</v>
      </c>
      <c r="J1143" s="4">
        <f t="shared" ca="1" si="99"/>
        <v>34.456200000000003</v>
      </c>
      <c r="K1143" s="4"/>
      <c r="L1143" s="5">
        <f t="shared" ca="1" si="100"/>
        <v>355.53689999999995</v>
      </c>
      <c r="M1143" s="5">
        <f t="shared" ca="1" si="100"/>
        <v>142.0401</v>
      </c>
      <c r="N1143" s="5">
        <f t="shared" ca="1" si="100"/>
        <v>58.217499999999994</v>
      </c>
      <c r="O1143" s="5">
        <f t="shared" ca="1" si="100"/>
        <v>4.4046000000000003</v>
      </c>
      <c r="P1143" s="5">
        <f t="shared" ca="1" si="100"/>
        <v>15.220499999999998</v>
      </c>
      <c r="Q1143" s="5">
        <f t="shared" ca="1" si="100"/>
        <v>231.81149999999997</v>
      </c>
      <c r="R1143" s="4"/>
      <c r="S1143" s="4"/>
    </row>
    <row r="1144" spans="1:19" ht="15" customHeight="1">
      <c r="A1144" s="3">
        <f t="shared" si="94"/>
        <v>2096</v>
      </c>
      <c r="B1144" s="4">
        <f t="shared" ca="1" si="99"/>
        <v>36.366599999999998</v>
      </c>
      <c r="C1144" s="4">
        <f t="shared" ca="1" si="99"/>
        <v>36.372841666666673</v>
      </c>
      <c r="D1144" s="4">
        <f t="shared" ca="1" si="99"/>
        <v>36.363883333333334</v>
      </c>
      <c r="E1144" s="4">
        <f t="shared" ca="1" si="99"/>
        <v>36.366374999999998</v>
      </c>
      <c r="F1144" s="4">
        <f t="shared" ca="1" si="99"/>
        <v>37.056441666666672</v>
      </c>
      <c r="G1144" s="4">
        <f t="shared" ca="1" si="99"/>
        <v>35.949366666666663</v>
      </c>
      <c r="H1144" s="4">
        <f t="shared" ca="1" si="99"/>
        <v>36.869116666666663</v>
      </c>
      <c r="I1144" s="4">
        <f t="shared" ca="1" si="99"/>
        <v>35.437558333333335</v>
      </c>
      <c r="J1144" s="4">
        <f t="shared" ca="1" si="99"/>
        <v>35.284066666666668</v>
      </c>
      <c r="K1144" s="4"/>
      <c r="L1144" s="5">
        <f t="shared" ca="1" si="100"/>
        <v>356.48229999999995</v>
      </c>
      <c r="M1144" s="5">
        <f t="shared" ca="1" si="100"/>
        <v>142.42920000000001</v>
      </c>
      <c r="N1144" s="5">
        <f t="shared" ca="1" si="100"/>
        <v>58.377000000000002</v>
      </c>
      <c r="O1144" s="5">
        <f t="shared" ca="1" si="100"/>
        <v>4.4165999999999999</v>
      </c>
      <c r="P1144" s="5">
        <f t="shared" ca="1" si="100"/>
        <v>15.262199999999998</v>
      </c>
      <c r="Q1144" s="5">
        <f t="shared" ca="1" si="100"/>
        <v>232.44659999999996</v>
      </c>
      <c r="R1144" s="4"/>
      <c r="S1144" s="4"/>
    </row>
    <row r="1145" spans="1:19" ht="15" customHeight="1">
      <c r="A1145" s="3">
        <f t="shared" si="94"/>
        <v>2097</v>
      </c>
      <c r="B1145" s="4">
        <f t="shared" ca="1" si="99"/>
        <v>37.240108333333332</v>
      </c>
      <c r="C1145" s="4">
        <f t="shared" ca="1" si="99"/>
        <v>37.246391666666668</v>
      </c>
      <c r="D1145" s="4">
        <f t="shared" ca="1" si="99"/>
        <v>37.237391666666674</v>
      </c>
      <c r="E1145" s="4">
        <f t="shared" ca="1" si="99"/>
        <v>37.239883333333331</v>
      </c>
      <c r="F1145" s="4">
        <f t="shared" ca="1" si="99"/>
        <v>37.929974999999999</v>
      </c>
      <c r="G1145" s="4">
        <f t="shared" ca="1" si="99"/>
        <v>36.812641666666671</v>
      </c>
      <c r="H1145" s="4">
        <f t="shared" ca="1" si="99"/>
        <v>37.732424999999999</v>
      </c>
      <c r="I1145" s="4">
        <f t="shared" ca="1" si="99"/>
        <v>36.285724999999992</v>
      </c>
      <c r="J1145" s="4">
        <f t="shared" ca="1" si="99"/>
        <v>36.131824999999999</v>
      </c>
      <c r="K1145" s="4"/>
      <c r="L1145" s="5">
        <f t="shared" ca="1" si="100"/>
        <v>355.53689999999995</v>
      </c>
      <c r="M1145" s="5">
        <f t="shared" ca="1" si="100"/>
        <v>142.0401</v>
      </c>
      <c r="N1145" s="5">
        <f t="shared" ca="1" si="100"/>
        <v>58.217499999999994</v>
      </c>
      <c r="O1145" s="5">
        <f t="shared" ca="1" si="100"/>
        <v>4.4046000000000003</v>
      </c>
      <c r="P1145" s="5">
        <f t="shared" ca="1" si="100"/>
        <v>15.220499999999998</v>
      </c>
      <c r="Q1145" s="5">
        <f t="shared" ca="1" si="100"/>
        <v>231.81149999999997</v>
      </c>
      <c r="R1145" s="4"/>
      <c r="S1145" s="4"/>
    </row>
    <row r="1146" spans="1:19" ht="15" customHeight="1">
      <c r="A1146" s="3">
        <f t="shared" si="94"/>
        <v>2098</v>
      </c>
      <c r="B1146" s="4">
        <f t="shared" ca="1" si="99"/>
        <v>38.134624999999993</v>
      </c>
      <c r="C1146" s="4">
        <f t="shared" ca="1" si="99"/>
        <v>38.140875000000001</v>
      </c>
      <c r="D1146" s="4">
        <f t="shared" ca="1" si="99"/>
        <v>38.131916666666669</v>
      </c>
      <c r="E1146" s="4">
        <f t="shared" ca="1" si="99"/>
        <v>38.134400000000007</v>
      </c>
      <c r="F1146" s="4">
        <f t="shared" ca="1" si="99"/>
        <v>38.824491666666667</v>
      </c>
      <c r="G1146" s="4">
        <f t="shared" ca="1" si="99"/>
        <v>37.696683333333333</v>
      </c>
      <c r="H1146" s="4">
        <f t="shared" ca="1" si="99"/>
        <v>38.616449999999993</v>
      </c>
      <c r="I1146" s="4">
        <f t="shared" ca="1" si="99"/>
        <v>37.154308333333333</v>
      </c>
      <c r="J1146" s="4">
        <f t="shared" ca="1" si="99"/>
        <v>36.999958333333332</v>
      </c>
      <c r="K1146" s="4"/>
      <c r="L1146" s="5">
        <f t="shared" ca="1" si="100"/>
        <v>355.53689999999995</v>
      </c>
      <c r="M1146" s="5">
        <f t="shared" ca="1" si="100"/>
        <v>142.0401</v>
      </c>
      <c r="N1146" s="5">
        <f t="shared" ca="1" si="100"/>
        <v>58.217499999999994</v>
      </c>
      <c r="O1146" s="5">
        <f t="shared" ca="1" si="100"/>
        <v>4.4046000000000003</v>
      </c>
      <c r="P1146" s="5">
        <f t="shared" ca="1" si="100"/>
        <v>15.220499999999998</v>
      </c>
      <c r="Q1146" s="5">
        <f t="shared" ca="1" si="100"/>
        <v>231.81149999999997</v>
      </c>
      <c r="R1146" s="4"/>
      <c r="S1146" s="4"/>
    </row>
    <row r="1147" spans="1:19" ht="15" customHeight="1">
      <c r="A1147" s="3">
        <f t="shared" si="94"/>
        <v>2099</v>
      </c>
      <c r="B1147" s="4">
        <f t="shared" ca="1" si="99"/>
        <v>39.050650000000005</v>
      </c>
      <c r="C1147" s="4">
        <f t="shared" ca="1" si="99"/>
        <v>39.056908333333332</v>
      </c>
      <c r="D1147" s="4">
        <f t="shared" ca="1" si="99"/>
        <v>39.047916666666673</v>
      </c>
      <c r="E1147" s="4">
        <f t="shared" ca="1" si="99"/>
        <v>39.050416666666671</v>
      </c>
      <c r="F1147" s="4">
        <f t="shared" ca="1" si="99"/>
        <v>39.74048333333333</v>
      </c>
      <c r="G1147" s="4">
        <f t="shared" ca="1" si="99"/>
        <v>38.601958333333329</v>
      </c>
      <c r="H1147" s="4">
        <f t="shared" ca="1" si="99"/>
        <v>39.521708333333336</v>
      </c>
      <c r="I1147" s="4">
        <f t="shared" ca="1" si="99"/>
        <v>38.043733333333336</v>
      </c>
      <c r="J1147" s="4">
        <f t="shared" ca="1" si="99"/>
        <v>37.888925</v>
      </c>
      <c r="K1147" s="4"/>
      <c r="L1147" s="5">
        <f t="shared" ca="1" si="100"/>
        <v>355.53689999999995</v>
      </c>
      <c r="M1147" s="5">
        <f t="shared" ca="1" si="100"/>
        <v>142.0401</v>
      </c>
      <c r="N1147" s="5">
        <f t="shared" ca="1" si="100"/>
        <v>58.217499999999994</v>
      </c>
      <c r="O1147" s="5">
        <f t="shared" ca="1" si="100"/>
        <v>4.4046000000000003</v>
      </c>
      <c r="P1147" s="5">
        <f t="shared" ca="1" si="100"/>
        <v>15.220499999999998</v>
      </c>
      <c r="Q1147" s="5">
        <f t="shared" ca="1" si="100"/>
        <v>231.81149999999997</v>
      </c>
      <c r="R1147" s="4"/>
      <c r="S1147" s="4"/>
    </row>
    <row r="1148" spans="1:19" ht="15" customHeight="1">
      <c r="A1148" s="3">
        <f t="shared" si="94"/>
        <v>2100</v>
      </c>
      <c r="B1148" s="4">
        <f t="shared" ca="1" si="99"/>
        <v>39.988658333333326</v>
      </c>
      <c r="C1148" s="4">
        <f t="shared" ca="1" si="99"/>
        <v>39.994924999999995</v>
      </c>
      <c r="D1148" s="4">
        <f t="shared" ca="1" si="99"/>
        <v>39.985933333333328</v>
      </c>
      <c r="E1148" s="4">
        <f t="shared" ca="1" si="99"/>
        <v>39.988408333333332</v>
      </c>
      <c r="F1148" s="4">
        <f t="shared" ca="1" si="99"/>
        <v>40.678491666666666</v>
      </c>
      <c r="G1148" s="4">
        <f t="shared" ca="1" si="99"/>
        <v>39.529016666666671</v>
      </c>
      <c r="H1148" s="4">
        <f t="shared" ca="1" si="99"/>
        <v>40.44875833333333</v>
      </c>
      <c r="I1148" s="4">
        <f t="shared" ca="1" si="99"/>
        <v>38.954524999999997</v>
      </c>
      <c r="J1148" s="4">
        <f t="shared" ca="1" si="99"/>
        <v>38.799283333333335</v>
      </c>
      <c r="K1148" s="4"/>
      <c r="L1148" s="5">
        <f t="shared" ca="1" si="100"/>
        <v>355.53689999999995</v>
      </c>
      <c r="M1148" s="5">
        <f t="shared" ca="1" si="100"/>
        <v>142.0401</v>
      </c>
      <c r="N1148" s="5">
        <f t="shared" ca="1" si="100"/>
        <v>58.217499999999994</v>
      </c>
      <c r="O1148" s="5">
        <f t="shared" ca="1" si="100"/>
        <v>4.4046000000000003</v>
      </c>
      <c r="P1148" s="5">
        <f t="shared" ca="1" si="100"/>
        <v>15.220499999999998</v>
      </c>
      <c r="Q1148" s="5">
        <f t="shared" ca="1" si="100"/>
        <v>231.81149999999997</v>
      </c>
      <c r="R1148" s="4"/>
      <c r="S1148" s="4"/>
    </row>
    <row r="1149" spans="1:19">
      <c r="A1149" s="3"/>
    </row>
    <row r="1150" spans="1:19">
      <c r="A1150" s="3"/>
    </row>
    <row r="1151" spans="1:19">
      <c r="A1151" s="3"/>
    </row>
    <row r="1152" spans="1:19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</sheetData>
  <mergeCells count="2">
    <mergeCell ref="L13:S13"/>
    <mergeCell ref="L14:S14"/>
  </mergeCells>
  <pageMargins left="0.25" right="0.25" top="0.5" bottom="0.5" header="0.25" footer="0.25"/>
  <pageSetup paperSize="5" scale="7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68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J17" sqref="J17"/>
    </sheetView>
  </sheetViews>
  <sheetFormatPr defaultColWidth="7.109375" defaultRowHeight="12.75"/>
  <cols>
    <col min="1" max="1" width="7.5546875" style="37" bestFit="1" customWidth="1"/>
    <col min="2" max="2" width="7.88671875" style="37" customWidth="1"/>
    <col min="3" max="7" width="11.33203125" style="36" customWidth="1"/>
    <col min="8" max="8" width="12.77734375" style="36" bestFit="1" customWidth="1"/>
    <col min="9" max="9" width="13.21875" style="36" customWidth="1"/>
    <col min="10" max="10" width="12.77734375" style="36" customWidth="1"/>
    <col min="11" max="11" width="7.77734375" style="36" customWidth="1"/>
    <col min="12" max="16384" width="7.109375" style="36"/>
  </cols>
  <sheetData>
    <row r="1" spans="1:10" ht="15.75">
      <c r="A1" s="88" t="s">
        <v>64</v>
      </c>
    </row>
    <row r="2" spans="1:10" ht="15.75">
      <c r="A2" s="88" t="s">
        <v>65</v>
      </c>
    </row>
    <row r="3" spans="1:10" ht="15.75">
      <c r="A3" s="88" t="s">
        <v>66</v>
      </c>
    </row>
    <row r="4" spans="1:10" ht="15.75">
      <c r="A4" s="88" t="s">
        <v>67</v>
      </c>
    </row>
    <row r="5" spans="1:10" ht="15.75">
      <c r="A5" s="88" t="s">
        <v>73</v>
      </c>
    </row>
    <row r="6" spans="1:10" ht="15.75">
      <c r="A6" s="88" t="s">
        <v>72</v>
      </c>
    </row>
    <row r="8" spans="1:10" ht="20.25">
      <c r="A8" s="35" t="s">
        <v>35</v>
      </c>
    </row>
    <row r="9" spans="1:10" ht="15.75">
      <c r="A9" s="34" t="s">
        <v>25</v>
      </c>
    </row>
    <row r="11" spans="1:10">
      <c r="A11" s="36"/>
    </row>
    <row r="12" spans="1:10" ht="15.75">
      <c r="A12" s="36"/>
      <c r="B12" s="34"/>
      <c r="C12" s="57"/>
      <c r="I12" s="28"/>
    </row>
    <row r="13" spans="1:10" ht="15.75">
      <c r="A13" s="34"/>
      <c r="B13" s="34"/>
      <c r="C13" s="57"/>
      <c r="I13" s="28"/>
    </row>
    <row r="14" spans="1:10" ht="15.75">
      <c r="A14" s="34"/>
      <c r="C14" s="90" t="s">
        <v>34</v>
      </c>
      <c r="D14" s="90"/>
      <c r="E14" s="90"/>
      <c r="F14" s="56"/>
      <c r="G14" s="55"/>
      <c r="H14" s="54"/>
      <c r="I14" s="53"/>
    </row>
    <row r="15" spans="1:10" ht="97.9" customHeight="1">
      <c r="A15" s="22"/>
      <c r="B15" s="22"/>
      <c r="C15" s="25" t="s">
        <v>20</v>
      </c>
      <c r="D15" s="52" t="s">
        <v>19</v>
      </c>
      <c r="E15" s="25" t="s">
        <v>33</v>
      </c>
      <c r="F15" s="25" t="s">
        <v>32</v>
      </c>
      <c r="G15" s="25" t="s">
        <v>16</v>
      </c>
      <c r="H15" s="51" t="s">
        <v>31</v>
      </c>
      <c r="I15" s="25" t="s">
        <v>30</v>
      </c>
      <c r="J15" s="25" t="s">
        <v>29</v>
      </c>
    </row>
    <row r="16" spans="1:10" ht="15.75">
      <c r="A16" s="24" t="s">
        <v>2</v>
      </c>
      <c r="B16" s="24" t="s">
        <v>28</v>
      </c>
      <c r="C16" s="24" t="s">
        <v>27</v>
      </c>
      <c r="D16" s="24" t="s">
        <v>27</v>
      </c>
      <c r="E16" s="24" t="s">
        <v>27</v>
      </c>
      <c r="F16" s="24" t="s">
        <v>27</v>
      </c>
      <c r="G16" s="24" t="s">
        <v>27</v>
      </c>
      <c r="H16" s="50" t="s">
        <v>27</v>
      </c>
      <c r="I16" s="24" t="s">
        <v>27</v>
      </c>
      <c r="J16" s="24" t="s">
        <v>27</v>
      </c>
    </row>
    <row r="17" spans="1:20" ht="15.75">
      <c r="A17" s="13">
        <v>41640</v>
      </c>
      <c r="B17" s="48">
        <v>31</v>
      </c>
      <c r="C17" s="39">
        <v>122.58</v>
      </c>
      <c r="D17" s="39">
        <v>297.94099999999997</v>
      </c>
      <c r="E17" s="45">
        <v>729.47900000000004</v>
      </c>
      <c r="F17" s="39">
        <v>1150</v>
      </c>
      <c r="G17" s="39">
        <v>100</v>
      </c>
      <c r="H17" s="47"/>
      <c r="I17" s="39">
        <v>695</v>
      </c>
      <c r="J17" s="39">
        <v>50</v>
      </c>
      <c r="K17" s="40"/>
      <c r="L17" s="49"/>
      <c r="M17" s="40"/>
      <c r="N17" s="40"/>
      <c r="O17" s="40"/>
      <c r="P17" s="40"/>
      <c r="Q17" s="40"/>
      <c r="R17" s="40"/>
      <c r="S17" s="40"/>
      <c r="T17" s="40"/>
    </row>
    <row r="18" spans="1:20" ht="15.75">
      <c r="A18" s="13">
        <v>41671</v>
      </c>
      <c r="B18" s="48">
        <v>30</v>
      </c>
      <c r="C18" s="39">
        <v>122.58</v>
      </c>
      <c r="D18" s="39">
        <v>297.94099999999997</v>
      </c>
      <c r="E18" s="45">
        <v>729.47900000000004</v>
      </c>
      <c r="F18" s="39">
        <v>1150</v>
      </c>
      <c r="G18" s="39">
        <v>100</v>
      </c>
      <c r="H18" s="47"/>
      <c r="I18" s="39">
        <v>695</v>
      </c>
      <c r="J18" s="39">
        <v>50</v>
      </c>
      <c r="K18" s="40"/>
      <c r="L18" s="49"/>
      <c r="M18" s="40"/>
      <c r="N18" s="40"/>
      <c r="O18" s="40"/>
      <c r="P18" s="40"/>
      <c r="Q18" s="40"/>
      <c r="R18" s="40"/>
      <c r="S18" s="40"/>
      <c r="T18" s="40"/>
    </row>
    <row r="19" spans="1:20" ht="15.75">
      <c r="A19" s="13">
        <v>41699</v>
      </c>
      <c r="B19" s="48">
        <v>31</v>
      </c>
      <c r="C19" s="39">
        <v>122.58</v>
      </c>
      <c r="D19" s="39">
        <v>297.94099999999997</v>
      </c>
      <c r="E19" s="45">
        <v>729.47900000000004</v>
      </c>
      <c r="F19" s="39">
        <v>1150</v>
      </c>
      <c r="G19" s="39">
        <v>100</v>
      </c>
      <c r="H19" s="47"/>
      <c r="I19" s="39">
        <v>695</v>
      </c>
      <c r="J19" s="39">
        <v>50</v>
      </c>
      <c r="K19" s="40"/>
      <c r="L19" s="49"/>
      <c r="M19" s="40"/>
      <c r="N19" s="40"/>
      <c r="O19" s="40"/>
      <c r="P19" s="40"/>
      <c r="Q19" s="40"/>
      <c r="R19" s="40"/>
      <c r="S19" s="40"/>
      <c r="T19" s="40"/>
    </row>
    <row r="20" spans="1:20" ht="15.75">
      <c r="A20" s="13">
        <v>41730</v>
      </c>
      <c r="B20" s="48">
        <v>30</v>
      </c>
      <c r="C20" s="39">
        <v>141.29300000000001</v>
      </c>
      <c r="D20" s="39">
        <v>267.99299999999999</v>
      </c>
      <c r="E20" s="45">
        <v>829.71400000000006</v>
      </c>
      <c r="F20" s="39">
        <v>1239</v>
      </c>
      <c r="G20" s="39">
        <v>100</v>
      </c>
      <c r="H20" s="47"/>
      <c r="I20" s="39">
        <v>695</v>
      </c>
      <c r="J20" s="39">
        <v>50</v>
      </c>
      <c r="K20" s="40"/>
      <c r="L20" s="49"/>
      <c r="M20" s="40"/>
      <c r="N20" s="40"/>
      <c r="O20" s="40"/>
      <c r="P20" s="40"/>
      <c r="Q20" s="40"/>
      <c r="R20" s="40"/>
      <c r="S20" s="40"/>
      <c r="T20" s="40"/>
    </row>
    <row r="21" spans="1:20" ht="15.75">
      <c r="A21" s="13">
        <v>41760</v>
      </c>
      <c r="B21" s="48">
        <v>31</v>
      </c>
      <c r="C21" s="39">
        <v>194.20500000000001</v>
      </c>
      <c r="D21" s="39">
        <v>267.46600000000001</v>
      </c>
      <c r="E21" s="45">
        <v>862.32899999999995</v>
      </c>
      <c r="F21" s="39">
        <v>1324</v>
      </c>
      <c r="G21" s="39">
        <v>75</v>
      </c>
      <c r="H21" s="47"/>
      <c r="I21" s="39">
        <v>695</v>
      </c>
      <c r="J21" s="39">
        <v>50</v>
      </c>
      <c r="K21" s="40"/>
      <c r="L21" s="49"/>
      <c r="M21" s="40"/>
      <c r="N21" s="40"/>
      <c r="O21" s="40"/>
      <c r="P21" s="40"/>
      <c r="Q21" s="40"/>
      <c r="R21" s="40"/>
      <c r="S21" s="40"/>
      <c r="T21" s="40"/>
    </row>
    <row r="22" spans="1:20" ht="15.75">
      <c r="A22" s="13">
        <v>41791</v>
      </c>
      <c r="B22" s="48">
        <v>30</v>
      </c>
      <c r="C22" s="39">
        <v>194.20500000000001</v>
      </c>
      <c r="D22" s="39">
        <v>267.46600000000001</v>
      </c>
      <c r="E22" s="45">
        <v>862.32899999999995</v>
      </c>
      <c r="F22" s="39">
        <v>1324</v>
      </c>
      <c r="G22" s="39">
        <v>50</v>
      </c>
      <c r="H22" s="47"/>
      <c r="I22" s="39">
        <v>695</v>
      </c>
      <c r="J22" s="39">
        <v>50</v>
      </c>
      <c r="K22" s="40"/>
      <c r="L22" s="49"/>
      <c r="M22" s="40"/>
      <c r="N22" s="40"/>
      <c r="O22" s="40"/>
      <c r="P22" s="40"/>
      <c r="Q22" s="40"/>
      <c r="R22" s="40"/>
      <c r="S22" s="40"/>
      <c r="T22" s="40"/>
    </row>
    <row r="23" spans="1:20" ht="15.75">
      <c r="A23" s="13">
        <v>41821</v>
      </c>
      <c r="B23" s="48">
        <v>31</v>
      </c>
      <c r="C23" s="39">
        <v>194.20500000000001</v>
      </c>
      <c r="D23" s="39">
        <v>267.46600000000001</v>
      </c>
      <c r="E23" s="45">
        <v>862.32899999999995</v>
      </c>
      <c r="F23" s="39">
        <v>1324</v>
      </c>
      <c r="G23" s="39">
        <v>50</v>
      </c>
      <c r="H23" s="47"/>
      <c r="I23" s="39">
        <v>695</v>
      </c>
      <c r="J23" s="39">
        <v>0</v>
      </c>
      <c r="K23" s="40"/>
      <c r="L23" s="49"/>
      <c r="M23" s="40"/>
      <c r="N23" s="40"/>
      <c r="O23" s="40"/>
      <c r="P23" s="40"/>
      <c r="Q23" s="40"/>
      <c r="R23" s="40"/>
      <c r="S23" s="40"/>
      <c r="T23" s="40"/>
    </row>
    <row r="24" spans="1:20" ht="15.75">
      <c r="A24" s="13">
        <v>41852</v>
      </c>
      <c r="B24" s="48">
        <v>31</v>
      </c>
      <c r="C24" s="39">
        <v>194.20500000000001</v>
      </c>
      <c r="D24" s="39">
        <v>267.46600000000001</v>
      </c>
      <c r="E24" s="45">
        <v>862.32899999999995</v>
      </c>
      <c r="F24" s="39">
        <v>1324</v>
      </c>
      <c r="G24" s="39">
        <v>50</v>
      </c>
      <c r="H24" s="47"/>
      <c r="I24" s="39">
        <v>695</v>
      </c>
      <c r="J24" s="39">
        <v>0</v>
      </c>
      <c r="K24" s="40"/>
      <c r="L24" s="49"/>
      <c r="M24" s="40"/>
      <c r="N24" s="40"/>
      <c r="O24" s="40"/>
      <c r="P24" s="40"/>
      <c r="Q24" s="40"/>
      <c r="R24" s="40"/>
      <c r="S24" s="40"/>
      <c r="T24" s="40"/>
    </row>
    <row r="25" spans="1:20" ht="15.75">
      <c r="A25" s="13">
        <v>41883</v>
      </c>
      <c r="B25" s="48">
        <v>30</v>
      </c>
      <c r="C25" s="39">
        <v>194.20500000000001</v>
      </c>
      <c r="D25" s="39">
        <v>267.46600000000001</v>
      </c>
      <c r="E25" s="45">
        <v>862.32899999999995</v>
      </c>
      <c r="F25" s="39">
        <v>1324</v>
      </c>
      <c r="G25" s="39">
        <v>50</v>
      </c>
      <c r="H25" s="47"/>
      <c r="I25" s="39">
        <v>695</v>
      </c>
      <c r="J25" s="39">
        <v>0</v>
      </c>
      <c r="K25" s="40"/>
      <c r="L25" s="49"/>
      <c r="M25" s="40"/>
      <c r="N25" s="40"/>
      <c r="O25" s="40"/>
      <c r="P25" s="40"/>
      <c r="Q25" s="40"/>
      <c r="R25" s="40"/>
      <c r="S25" s="40"/>
      <c r="T25" s="40"/>
    </row>
    <row r="26" spans="1:20" ht="15.75">
      <c r="A26" s="13">
        <v>41913</v>
      </c>
      <c r="B26" s="48">
        <v>31</v>
      </c>
      <c r="C26" s="39">
        <v>131.881</v>
      </c>
      <c r="D26" s="39">
        <v>277.16699999999997</v>
      </c>
      <c r="E26" s="45">
        <v>829.952</v>
      </c>
      <c r="F26" s="39">
        <v>1239</v>
      </c>
      <c r="G26" s="39">
        <v>75</v>
      </c>
      <c r="H26" s="47"/>
      <c r="I26" s="39">
        <v>695</v>
      </c>
      <c r="J26" s="39">
        <v>0</v>
      </c>
      <c r="K26" s="40"/>
      <c r="L26" s="49"/>
      <c r="M26" s="40"/>
      <c r="N26" s="40"/>
      <c r="O26" s="40"/>
      <c r="P26" s="40"/>
      <c r="Q26" s="40"/>
      <c r="R26" s="40"/>
      <c r="S26" s="40"/>
      <c r="T26" s="40"/>
    </row>
    <row r="27" spans="1:20" ht="15.75">
      <c r="A27" s="13">
        <v>41944</v>
      </c>
      <c r="B27" s="48">
        <v>30</v>
      </c>
      <c r="C27" s="39">
        <v>122.58</v>
      </c>
      <c r="D27" s="39">
        <v>297.94099999999997</v>
      </c>
      <c r="E27" s="45">
        <v>729.47900000000004</v>
      </c>
      <c r="F27" s="39">
        <v>1150</v>
      </c>
      <c r="G27" s="39">
        <v>100</v>
      </c>
      <c r="H27" s="47"/>
      <c r="I27" s="39">
        <v>695</v>
      </c>
      <c r="J27" s="39">
        <v>50</v>
      </c>
      <c r="K27" s="40"/>
      <c r="L27" s="49"/>
      <c r="M27" s="40"/>
      <c r="N27" s="40"/>
      <c r="O27" s="40"/>
      <c r="P27" s="40"/>
      <c r="Q27" s="40"/>
      <c r="R27" s="40"/>
      <c r="S27" s="40"/>
      <c r="T27" s="40"/>
    </row>
    <row r="28" spans="1:20" ht="15.75">
      <c r="A28" s="13">
        <v>41974</v>
      </c>
      <c r="B28" s="48">
        <v>31</v>
      </c>
      <c r="C28" s="39">
        <v>122.58</v>
      </c>
      <c r="D28" s="39">
        <v>297.94099999999997</v>
      </c>
      <c r="E28" s="45">
        <v>729.47900000000004</v>
      </c>
      <c r="F28" s="39">
        <v>1150</v>
      </c>
      <c r="G28" s="39">
        <v>100</v>
      </c>
      <c r="H28" s="47"/>
      <c r="I28" s="39">
        <v>695</v>
      </c>
      <c r="J28" s="39">
        <v>50</v>
      </c>
      <c r="K28" s="40"/>
      <c r="L28" s="49"/>
      <c r="M28" s="40"/>
      <c r="N28" s="40"/>
      <c r="O28" s="40"/>
      <c r="P28" s="40"/>
      <c r="Q28" s="40"/>
      <c r="R28" s="40"/>
      <c r="S28" s="40"/>
      <c r="T28" s="40"/>
    </row>
    <row r="29" spans="1:20" ht="15.75">
      <c r="A29" s="13">
        <v>42005</v>
      </c>
      <c r="B29" s="48">
        <v>31</v>
      </c>
      <c r="C29" s="39">
        <v>122.58</v>
      </c>
      <c r="D29" s="39">
        <v>297.94099999999997</v>
      </c>
      <c r="E29" s="45">
        <v>729.47900000000004</v>
      </c>
      <c r="F29" s="39">
        <v>1150</v>
      </c>
      <c r="G29" s="39">
        <v>100</v>
      </c>
      <c r="H29" s="47"/>
      <c r="I29" s="39">
        <v>695</v>
      </c>
      <c r="J29" s="39">
        <v>50</v>
      </c>
      <c r="K29" s="40"/>
      <c r="L29" s="49"/>
      <c r="M29" s="40"/>
      <c r="N29" s="40"/>
      <c r="O29" s="40"/>
      <c r="P29" s="40"/>
      <c r="Q29" s="40"/>
      <c r="R29" s="40"/>
      <c r="S29" s="40"/>
      <c r="T29" s="40"/>
    </row>
    <row r="30" spans="1:20" ht="15.75">
      <c r="A30" s="13">
        <v>42036</v>
      </c>
      <c r="B30" s="48">
        <v>28</v>
      </c>
      <c r="C30" s="39">
        <v>122.58</v>
      </c>
      <c r="D30" s="39">
        <v>297.94099999999997</v>
      </c>
      <c r="E30" s="45">
        <v>729.47900000000004</v>
      </c>
      <c r="F30" s="39">
        <v>1150</v>
      </c>
      <c r="G30" s="39">
        <v>100</v>
      </c>
      <c r="H30" s="47"/>
      <c r="I30" s="39">
        <v>695</v>
      </c>
      <c r="J30" s="39">
        <v>50</v>
      </c>
      <c r="K30" s="40"/>
      <c r="L30" s="49"/>
      <c r="M30" s="40"/>
      <c r="N30" s="40"/>
      <c r="O30" s="40"/>
      <c r="P30" s="40"/>
      <c r="Q30" s="40"/>
      <c r="R30" s="40"/>
      <c r="S30" s="40"/>
      <c r="T30" s="40"/>
    </row>
    <row r="31" spans="1:20" ht="15.75">
      <c r="A31" s="13">
        <v>42064</v>
      </c>
      <c r="B31" s="48">
        <v>31</v>
      </c>
      <c r="C31" s="39">
        <v>122.58</v>
      </c>
      <c r="D31" s="39">
        <v>297.94099999999997</v>
      </c>
      <c r="E31" s="45">
        <v>729.47900000000004</v>
      </c>
      <c r="F31" s="39">
        <v>1150</v>
      </c>
      <c r="G31" s="39">
        <v>100</v>
      </c>
      <c r="H31" s="47"/>
      <c r="I31" s="39">
        <v>695</v>
      </c>
      <c r="J31" s="39">
        <v>50</v>
      </c>
      <c r="K31" s="40"/>
      <c r="L31" s="49"/>
      <c r="M31" s="40"/>
      <c r="N31" s="40"/>
      <c r="O31" s="40"/>
      <c r="P31" s="40"/>
      <c r="Q31" s="40"/>
      <c r="R31" s="40"/>
      <c r="S31" s="40"/>
      <c r="T31" s="40"/>
    </row>
    <row r="32" spans="1:20" ht="15.75">
      <c r="A32" s="13">
        <v>42095</v>
      </c>
      <c r="B32" s="48">
        <v>30</v>
      </c>
      <c r="C32" s="39">
        <v>141.29300000000001</v>
      </c>
      <c r="D32" s="39">
        <v>267.99299999999999</v>
      </c>
      <c r="E32" s="45">
        <v>829.71400000000006</v>
      </c>
      <c r="F32" s="39">
        <v>1239</v>
      </c>
      <c r="G32" s="39">
        <v>100</v>
      </c>
      <c r="H32" s="47"/>
      <c r="I32" s="39">
        <v>695</v>
      </c>
      <c r="J32" s="39">
        <v>50</v>
      </c>
      <c r="K32" s="40"/>
      <c r="L32" s="49"/>
      <c r="M32" s="40"/>
      <c r="N32" s="40"/>
      <c r="O32" s="40"/>
      <c r="P32" s="40"/>
      <c r="Q32" s="40"/>
      <c r="R32" s="40"/>
      <c r="S32" s="40"/>
      <c r="T32" s="40"/>
    </row>
    <row r="33" spans="1:20" ht="15.75">
      <c r="A33" s="13">
        <v>42125</v>
      </c>
      <c r="B33" s="48">
        <v>31</v>
      </c>
      <c r="C33" s="39">
        <v>194.20500000000001</v>
      </c>
      <c r="D33" s="39">
        <v>267.46600000000001</v>
      </c>
      <c r="E33" s="45">
        <v>862.32899999999995</v>
      </c>
      <c r="F33" s="39">
        <v>1324</v>
      </c>
      <c r="G33" s="39">
        <v>75</v>
      </c>
      <c r="H33" s="47"/>
      <c r="I33" s="39">
        <v>695</v>
      </c>
      <c r="J33" s="39">
        <v>50</v>
      </c>
      <c r="K33" s="40"/>
      <c r="L33" s="49"/>
      <c r="M33" s="40"/>
      <c r="N33" s="40"/>
      <c r="O33" s="40"/>
      <c r="P33" s="40"/>
      <c r="Q33" s="40"/>
      <c r="R33" s="40"/>
      <c r="S33" s="40"/>
      <c r="T33" s="40"/>
    </row>
    <row r="34" spans="1:20" ht="15.75">
      <c r="A34" s="13">
        <v>42156</v>
      </c>
      <c r="B34" s="48">
        <v>30</v>
      </c>
      <c r="C34" s="39">
        <v>194.20500000000001</v>
      </c>
      <c r="D34" s="39">
        <v>267.46600000000001</v>
      </c>
      <c r="E34" s="45">
        <v>862.32899999999995</v>
      </c>
      <c r="F34" s="39">
        <v>1324</v>
      </c>
      <c r="G34" s="39">
        <v>50</v>
      </c>
      <c r="H34" s="47"/>
      <c r="I34" s="39">
        <v>695</v>
      </c>
      <c r="J34" s="39">
        <v>50</v>
      </c>
      <c r="K34" s="40"/>
      <c r="L34" s="49"/>
      <c r="M34" s="40"/>
      <c r="N34" s="40"/>
      <c r="O34" s="40"/>
      <c r="P34" s="40"/>
      <c r="Q34" s="40"/>
      <c r="R34" s="40"/>
      <c r="S34" s="40"/>
      <c r="T34" s="40"/>
    </row>
    <row r="35" spans="1:20" ht="15.75">
      <c r="A35" s="13">
        <v>42186</v>
      </c>
      <c r="B35" s="48">
        <v>31</v>
      </c>
      <c r="C35" s="39">
        <v>194.20500000000001</v>
      </c>
      <c r="D35" s="39">
        <v>267.46600000000001</v>
      </c>
      <c r="E35" s="45">
        <v>862.32899999999995</v>
      </c>
      <c r="F35" s="39">
        <v>1324</v>
      </c>
      <c r="G35" s="39">
        <v>50</v>
      </c>
      <c r="H35" s="47"/>
      <c r="I35" s="39">
        <v>695</v>
      </c>
      <c r="J35" s="39">
        <v>0</v>
      </c>
      <c r="K35" s="40"/>
      <c r="L35" s="49"/>
      <c r="M35" s="40"/>
      <c r="N35" s="40"/>
      <c r="O35" s="40"/>
      <c r="P35" s="40"/>
      <c r="Q35" s="40"/>
      <c r="R35" s="40"/>
      <c r="S35" s="40"/>
      <c r="T35" s="40"/>
    </row>
    <row r="36" spans="1:20" ht="15.75">
      <c r="A36" s="13">
        <v>42217</v>
      </c>
      <c r="B36" s="48">
        <v>31</v>
      </c>
      <c r="C36" s="39">
        <v>194.20500000000001</v>
      </c>
      <c r="D36" s="39">
        <v>267.46600000000001</v>
      </c>
      <c r="E36" s="45">
        <v>862.32899999999995</v>
      </c>
      <c r="F36" s="39">
        <v>1324</v>
      </c>
      <c r="G36" s="39">
        <v>50</v>
      </c>
      <c r="H36" s="47"/>
      <c r="I36" s="39">
        <v>695</v>
      </c>
      <c r="J36" s="39">
        <v>0</v>
      </c>
      <c r="K36" s="40"/>
      <c r="L36" s="49"/>
      <c r="M36" s="40"/>
      <c r="N36" s="40"/>
      <c r="O36" s="40"/>
      <c r="P36" s="40"/>
      <c r="Q36" s="40"/>
      <c r="R36" s="40"/>
      <c r="S36" s="40"/>
      <c r="T36" s="40"/>
    </row>
    <row r="37" spans="1:20" ht="15.75">
      <c r="A37" s="13">
        <v>42248</v>
      </c>
      <c r="B37" s="48">
        <v>30</v>
      </c>
      <c r="C37" s="39">
        <v>194.20500000000001</v>
      </c>
      <c r="D37" s="39">
        <v>267.46600000000001</v>
      </c>
      <c r="E37" s="45">
        <v>862.32899999999995</v>
      </c>
      <c r="F37" s="39">
        <v>1324</v>
      </c>
      <c r="G37" s="39">
        <v>50</v>
      </c>
      <c r="H37" s="47"/>
      <c r="I37" s="39">
        <v>695</v>
      </c>
      <c r="J37" s="39">
        <v>0</v>
      </c>
      <c r="K37" s="40"/>
      <c r="L37" s="49"/>
      <c r="M37" s="40"/>
      <c r="N37" s="40"/>
      <c r="O37" s="40"/>
      <c r="P37" s="40"/>
      <c r="Q37" s="40"/>
      <c r="R37" s="40"/>
      <c r="S37" s="40"/>
      <c r="T37" s="40"/>
    </row>
    <row r="38" spans="1:20" ht="15.75">
      <c r="A38" s="13">
        <v>42278</v>
      </c>
      <c r="B38" s="48">
        <v>31</v>
      </c>
      <c r="C38" s="39">
        <v>131.881</v>
      </c>
      <c r="D38" s="39">
        <v>277.16699999999997</v>
      </c>
      <c r="E38" s="45">
        <v>829.952</v>
      </c>
      <c r="F38" s="39">
        <v>1239</v>
      </c>
      <c r="G38" s="39">
        <v>75</v>
      </c>
      <c r="H38" s="47"/>
      <c r="I38" s="39">
        <v>695</v>
      </c>
      <c r="J38" s="39">
        <v>0</v>
      </c>
      <c r="K38" s="40"/>
      <c r="L38" s="49"/>
      <c r="M38" s="40"/>
      <c r="N38" s="40"/>
      <c r="O38" s="40"/>
      <c r="P38" s="40"/>
      <c r="Q38" s="40"/>
      <c r="R38" s="40"/>
      <c r="S38" s="40"/>
      <c r="T38" s="40"/>
    </row>
    <row r="39" spans="1:20" ht="15.75">
      <c r="A39" s="13">
        <v>42309</v>
      </c>
      <c r="B39" s="48">
        <v>30</v>
      </c>
      <c r="C39" s="39">
        <v>122.58</v>
      </c>
      <c r="D39" s="39">
        <v>297.94099999999997</v>
      </c>
      <c r="E39" s="45">
        <v>729.47900000000004</v>
      </c>
      <c r="F39" s="39">
        <v>1150</v>
      </c>
      <c r="G39" s="39">
        <v>100</v>
      </c>
      <c r="H39" s="47"/>
      <c r="I39" s="39">
        <v>695</v>
      </c>
      <c r="J39" s="39">
        <v>50</v>
      </c>
      <c r="K39" s="40"/>
      <c r="L39" s="49"/>
      <c r="M39" s="40"/>
      <c r="N39" s="40"/>
      <c r="O39" s="40"/>
      <c r="P39" s="40"/>
      <c r="Q39" s="40"/>
      <c r="R39" s="40"/>
      <c r="S39" s="40"/>
      <c r="T39" s="40"/>
    </row>
    <row r="40" spans="1:20" ht="15.75">
      <c r="A40" s="13">
        <v>42339</v>
      </c>
      <c r="B40" s="48">
        <v>31</v>
      </c>
      <c r="C40" s="39">
        <v>122.58</v>
      </c>
      <c r="D40" s="39">
        <v>297.94099999999997</v>
      </c>
      <c r="E40" s="45">
        <v>729.47900000000004</v>
      </c>
      <c r="F40" s="39">
        <v>1150</v>
      </c>
      <c r="G40" s="39">
        <v>100</v>
      </c>
      <c r="H40" s="47"/>
      <c r="I40" s="39">
        <v>695</v>
      </c>
      <c r="J40" s="39">
        <v>50</v>
      </c>
      <c r="K40" s="40"/>
      <c r="L40" s="49"/>
      <c r="M40" s="40"/>
      <c r="N40" s="40"/>
      <c r="O40" s="40"/>
      <c r="P40" s="40"/>
      <c r="Q40" s="40"/>
      <c r="R40" s="40"/>
      <c r="S40" s="40"/>
      <c r="T40" s="40"/>
    </row>
    <row r="41" spans="1:20" ht="15.75">
      <c r="A41" s="13">
        <v>42370</v>
      </c>
      <c r="B41" s="48">
        <v>31</v>
      </c>
      <c r="C41" s="39">
        <v>122.58</v>
      </c>
      <c r="D41" s="39">
        <v>297.94099999999997</v>
      </c>
      <c r="E41" s="45">
        <v>729.47900000000004</v>
      </c>
      <c r="F41" s="39">
        <v>1150</v>
      </c>
      <c r="G41" s="39">
        <v>100</v>
      </c>
      <c r="H41" s="47"/>
      <c r="I41" s="39">
        <v>695</v>
      </c>
      <c r="J41" s="39">
        <v>50</v>
      </c>
      <c r="K41" s="40"/>
      <c r="L41" s="49"/>
      <c r="M41" s="40"/>
      <c r="N41" s="40"/>
      <c r="O41" s="40"/>
      <c r="P41" s="40"/>
      <c r="Q41" s="40"/>
      <c r="R41" s="40"/>
      <c r="S41" s="40"/>
      <c r="T41" s="40"/>
    </row>
    <row r="42" spans="1:20" ht="15.75">
      <c r="A42" s="13">
        <v>42401</v>
      </c>
      <c r="B42" s="48">
        <v>29</v>
      </c>
      <c r="C42" s="39">
        <v>122.58</v>
      </c>
      <c r="D42" s="39">
        <v>297.94099999999997</v>
      </c>
      <c r="E42" s="45">
        <v>729.47900000000004</v>
      </c>
      <c r="F42" s="39">
        <v>1150</v>
      </c>
      <c r="G42" s="39">
        <v>100</v>
      </c>
      <c r="H42" s="47"/>
      <c r="I42" s="39">
        <v>695</v>
      </c>
      <c r="J42" s="39">
        <v>50</v>
      </c>
      <c r="K42" s="40"/>
      <c r="L42" s="49"/>
      <c r="M42" s="40"/>
      <c r="N42" s="40"/>
      <c r="O42" s="40"/>
      <c r="P42" s="40"/>
      <c r="Q42" s="40"/>
      <c r="R42" s="40"/>
      <c r="S42" s="40"/>
      <c r="T42" s="40"/>
    </row>
    <row r="43" spans="1:20" ht="15.75">
      <c r="A43" s="13">
        <v>42430</v>
      </c>
      <c r="B43" s="48">
        <v>31</v>
      </c>
      <c r="C43" s="39">
        <v>122.58</v>
      </c>
      <c r="D43" s="39">
        <v>297.94099999999997</v>
      </c>
      <c r="E43" s="45">
        <v>729.47900000000004</v>
      </c>
      <c r="F43" s="39">
        <v>1150</v>
      </c>
      <c r="G43" s="39">
        <v>100</v>
      </c>
      <c r="H43" s="47"/>
      <c r="I43" s="39">
        <v>695</v>
      </c>
      <c r="J43" s="39">
        <v>50</v>
      </c>
      <c r="K43" s="40"/>
      <c r="L43" s="49"/>
      <c r="M43" s="40"/>
      <c r="N43" s="40"/>
      <c r="O43" s="40"/>
      <c r="P43" s="40"/>
      <c r="Q43" s="40"/>
      <c r="R43" s="40"/>
      <c r="S43" s="40"/>
      <c r="T43" s="40"/>
    </row>
    <row r="44" spans="1:20" ht="15.75">
      <c r="A44" s="13">
        <v>42461</v>
      </c>
      <c r="B44" s="48">
        <v>30</v>
      </c>
      <c r="C44" s="39">
        <v>141.29300000000001</v>
      </c>
      <c r="D44" s="39">
        <v>267.99299999999999</v>
      </c>
      <c r="E44" s="45">
        <v>829.71400000000006</v>
      </c>
      <c r="F44" s="39">
        <v>1239</v>
      </c>
      <c r="G44" s="39">
        <v>100</v>
      </c>
      <c r="H44" s="47"/>
      <c r="I44" s="39">
        <v>695</v>
      </c>
      <c r="J44" s="39">
        <v>50</v>
      </c>
      <c r="K44" s="40"/>
      <c r="L44" s="49"/>
      <c r="M44" s="40"/>
      <c r="N44" s="40"/>
      <c r="O44" s="40"/>
      <c r="P44" s="40"/>
      <c r="Q44" s="40"/>
      <c r="R44" s="40"/>
      <c r="S44" s="40"/>
      <c r="T44" s="40"/>
    </row>
    <row r="45" spans="1:20" ht="15.75">
      <c r="A45" s="13">
        <v>42491</v>
      </c>
      <c r="B45" s="48">
        <v>31</v>
      </c>
      <c r="C45" s="39">
        <v>194.20500000000001</v>
      </c>
      <c r="D45" s="39">
        <v>267.46600000000001</v>
      </c>
      <c r="E45" s="45">
        <v>812.32899999999995</v>
      </c>
      <c r="F45" s="39">
        <v>1274</v>
      </c>
      <c r="G45" s="39">
        <v>75</v>
      </c>
      <c r="H45" s="47"/>
      <c r="I45" s="39">
        <v>695</v>
      </c>
      <c r="J45" s="39">
        <v>50</v>
      </c>
      <c r="K45" s="40"/>
      <c r="L45" s="49"/>
      <c r="M45" s="40"/>
      <c r="N45" s="40"/>
      <c r="O45" s="40"/>
      <c r="P45" s="40"/>
      <c r="Q45" s="40"/>
      <c r="R45" s="40"/>
      <c r="S45" s="40"/>
      <c r="T45" s="40"/>
    </row>
    <row r="46" spans="1:20" ht="15.75">
      <c r="A46" s="13">
        <v>42522</v>
      </c>
      <c r="B46" s="48">
        <v>30</v>
      </c>
      <c r="C46" s="39">
        <v>194.20500000000001</v>
      </c>
      <c r="D46" s="39">
        <v>267.46600000000001</v>
      </c>
      <c r="E46" s="45">
        <v>812.32899999999995</v>
      </c>
      <c r="F46" s="39">
        <v>1274</v>
      </c>
      <c r="G46" s="39">
        <v>50</v>
      </c>
      <c r="H46" s="47"/>
      <c r="I46" s="39">
        <v>695</v>
      </c>
      <c r="J46" s="39">
        <v>50</v>
      </c>
      <c r="K46" s="40"/>
      <c r="L46" s="49"/>
      <c r="M46" s="40"/>
      <c r="N46" s="40"/>
      <c r="O46" s="40"/>
      <c r="P46" s="40"/>
      <c r="Q46" s="40"/>
      <c r="R46" s="40"/>
      <c r="S46" s="40"/>
      <c r="T46" s="40"/>
    </row>
    <row r="47" spans="1:20" ht="15.75">
      <c r="A47" s="13">
        <v>42552</v>
      </c>
      <c r="B47" s="48">
        <v>31</v>
      </c>
      <c r="C47" s="39">
        <v>194.20500000000001</v>
      </c>
      <c r="D47" s="39">
        <v>267.46600000000001</v>
      </c>
      <c r="E47" s="45">
        <v>812.32899999999995</v>
      </c>
      <c r="F47" s="39">
        <v>1274</v>
      </c>
      <c r="G47" s="39">
        <v>50</v>
      </c>
      <c r="H47" s="47"/>
      <c r="I47" s="39">
        <v>695</v>
      </c>
      <c r="J47" s="39">
        <v>0</v>
      </c>
      <c r="K47" s="40"/>
      <c r="L47" s="49"/>
      <c r="M47" s="40"/>
      <c r="N47" s="40"/>
      <c r="O47" s="40"/>
      <c r="P47" s="40"/>
      <c r="Q47" s="40"/>
      <c r="R47" s="40"/>
      <c r="S47" s="40"/>
      <c r="T47" s="40"/>
    </row>
    <row r="48" spans="1:20" ht="15.75">
      <c r="A48" s="13">
        <v>42583</v>
      </c>
      <c r="B48" s="48">
        <v>31</v>
      </c>
      <c r="C48" s="39">
        <v>194.20500000000001</v>
      </c>
      <c r="D48" s="39">
        <v>267.46600000000001</v>
      </c>
      <c r="E48" s="45">
        <v>812.32899999999995</v>
      </c>
      <c r="F48" s="39">
        <v>1274</v>
      </c>
      <c r="G48" s="39">
        <v>50</v>
      </c>
      <c r="H48" s="47"/>
      <c r="I48" s="39">
        <v>695</v>
      </c>
      <c r="J48" s="39">
        <v>0</v>
      </c>
      <c r="K48" s="40"/>
      <c r="L48" s="49"/>
      <c r="M48" s="40"/>
      <c r="N48" s="40"/>
      <c r="O48" s="40"/>
      <c r="P48" s="40"/>
      <c r="Q48" s="40"/>
      <c r="R48" s="40"/>
      <c r="S48" s="40"/>
      <c r="T48" s="40"/>
    </row>
    <row r="49" spans="1:20" ht="15.75">
      <c r="A49" s="13">
        <v>42614</v>
      </c>
      <c r="B49" s="48">
        <v>30</v>
      </c>
      <c r="C49" s="39">
        <v>194.20500000000001</v>
      </c>
      <c r="D49" s="39">
        <v>267.46600000000001</v>
      </c>
      <c r="E49" s="45">
        <v>812.32899999999995</v>
      </c>
      <c r="F49" s="39">
        <v>1274</v>
      </c>
      <c r="G49" s="39">
        <v>50</v>
      </c>
      <c r="H49" s="47"/>
      <c r="I49" s="39">
        <v>695</v>
      </c>
      <c r="J49" s="39">
        <v>0</v>
      </c>
      <c r="K49" s="40"/>
      <c r="L49" s="49"/>
      <c r="M49" s="40"/>
      <c r="N49" s="40"/>
      <c r="O49" s="40"/>
      <c r="P49" s="40"/>
      <c r="Q49" s="40"/>
      <c r="R49" s="40"/>
      <c r="S49" s="40"/>
      <c r="T49" s="40"/>
    </row>
    <row r="50" spans="1:20" ht="15.75">
      <c r="A50" s="13">
        <v>42644</v>
      </c>
      <c r="B50" s="48">
        <v>31</v>
      </c>
      <c r="C50" s="39">
        <v>131.881</v>
      </c>
      <c r="D50" s="39">
        <v>277.16699999999997</v>
      </c>
      <c r="E50" s="45">
        <v>829.952</v>
      </c>
      <c r="F50" s="39">
        <v>1239</v>
      </c>
      <c r="G50" s="39">
        <v>75</v>
      </c>
      <c r="H50" s="47"/>
      <c r="I50" s="39">
        <v>695</v>
      </c>
      <c r="J50" s="39">
        <v>0</v>
      </c>
      <c r="K50" s="40"/>
      <c r="L50" s="49"/>
      <c r="M50" s="40"/>
      <c r="N50" s="40"/>
      <c r="O50" s="40"/>
      <c r="P50" s="40"/>
      <c r="Q50" s="40"/>
      <c r="R50" s="40"/>
      <c r="S50" s="40"/>
      <c r="T50" s="40"/>
    </row>
    <row r="51" spans="1:20" ht="15.75">
      <c r="A51" s="13">
        <v>42675</v>
      </c>
      <c r="B51" s="48">
        <v>30</v>
      </c>
      <c r="C51" s="39">
        <v>122.58</v>
      </c>
      <c r="D51" s="39">
        <v>297.94099999999997</v>
      </c>
      <c r="E51" s="45">
        <v>729.47900000000004</v>
      </c>
      <c r="F51" s="39">
        <v>1150</v>
      </c>
      <c r="G51" s="39">
        <v>100</v>
      </c>
      <c r="H51" s="47"/>
      <c r="I51" s="39">
        <v>695</v>
      </c>
      <c r="J51" s="39">
        <v>50</v>
      </c>
      <c r="K51" s="40"/>
      <c r="L51" s="49"/>
      <c r="M51" s="40"/>
      <c r="N51" s="40"/>
      <c r="O51" s="40"/>
      <c r="P51" s="40"/>
      <c r="Q51" s="40"/>
      <c r="R51" s="40"/>
      <c r="S51" s="40"/>
      <c r="T51" s="40"/>
    </row>
    <row r="52" spans="1:20" ht="15.75">
      <c r="A52" s="13">
        <v>42705</v>
      </c>
      <c r="B52" s="48">
        <v>31</v>
      </c>
      <c r="C52" s="39">
        <v>122.58</v>
      </c>
      <c r="D52" s="39">
        <v>297.94099999999997</v>
      </c>
      <c r="E52" s="45">
        <v>729.47900000000004</v>
      </c>
      <c r="F52" s="39">
        <v>1150</v>
      </c>
      <c r="G52" s="39">
        <v>100</v>
      </c>
      <c r="H52" s="47"/>
      <c r="I52" s="39">
        <v>695</v>
      </c>
      <c r="J52" s="39">
        <v>50</v>
      </c>
      <c r="K52" s="40"/>
      <c r="L52" s="49"/>
      <c r="M52" s="40"/>
      <c r="N52" s="40"/>
      <c r="O52" s="40"/>
      <c r="P52" s="40"/>
      <c r="Q52" s="40"/>
      <c r="R52" s="40"/>
      <c r="S52" s="40"/>
      <c r="T52" s="40"/>
    </row>
    <row r="53" spans="1:20" ht="15.75">
      <c r="A53" s="13">
        <v>42736</v>
      </c>
      <c r="B53" s="48">
        <v>31</v>
      </c>
      <c r="C53" s="39">
        <v>122.58</v>
      </c>
      <c r="D53" s="39">
        <v>297.94099999999997</v>
      </c>
      <c r="E53" s="45">
        <v>729.47900000000004</v>
      </c>
      <c r="F53" s="39">
        <v>1150</v>
      </c>
      <c r="G53" s="39">
        <v>100</v>
      </c>
      <c r="H53" s="47"/>
      <c r="I53" s="39">
        <v>695</v>
      </c>
      <c r="J53" s="39">
        <v>50</v>
      </c>
      <c r="K53" s="40"/>
      <c r="L53" s="49"/>
      <c r="M53" s="40"/>
      <c r="N53" s="40"/>
      <c r="O53" s="40"/>
      <c r="P53" s="40"/>
      <c r="Q53" s="40"/>
      <c r="R53" s="40"/>
      <c r="S53" s="40"/>
      <c r="T53" s="40"/>
    </row>
    <row r="54" spans="1:20" ht="15.75">
      <c r="A54" s="13">
        <v>42767</v>
      </c>
      <c r="B54" s="48">
        <v>28</v>
      </c>
      <c r="C54" s="39">
        <v>122.58</v>
      </c>
      <c r="D54" s="39">
        <v>297.94099999999997</v>
      </c>
      <c r="E54" s="45">
        <v>729.47900000000004</v>
      </c>
      <c r="F54" s="39">
        <v>1150</v>
      </c>
      <c r="G54" s="39">
        <v>100</v>
      </c>
      <c r="H54" s="47"/>
      <c r="I54" s="39">
        <v>695</v>
      </c>
      <c r="J54" s="39">
        <v>50</v>
      </c>
      <c r="K54" s="40"/>
      <c r="L54" s="49"/>
      <c r="M54" s="40"/>
      <c r="N54" s="40"/>
      <c r="O54" s="40"/>
      <c r="P54" s="40"/>
      <c r="Q54" s="40"/>
      <c r="R54" s="40"/>
      <c r="S54" s="40"/>
      <c r="T54" s="40"/>
    </row>
    <row r="55" spans="1:20" ht="15.75">
      <c r="A55" s="13">
        <v>42795</v>
      </c>
      <c r="B55" s="48">
        <v>31</v>
      </c>
      <c r="C55" s="39">
        <v>122.58</v>
      </c>
      <c r="D55" s="39">
        <v>297.94099999999997</v>
      </c>
      <c r="E55" s="45">
        <v>729.47900000000004</v>
      </c>
      <c r="F55" s="39">
        <v>1150</v>
      </c>
      <c r="G55" s="39">
        <v>100</v>
      </c>
      <c r="H55" s="47"/>
      <c r="I55" s="39">
        <v>695</v>
      </c>
      <c r="J55" s="39">
        <v>50</v>
      </c>
      <c r="K55" s="40"/>
      <c r="L55" s="49"/>
      <c r="M55" s="40"/>
      <c r="N55" s="40"/>
      <c r="O55" s="40"/>
      <c r="P55" s="40"/>
      <c r="Q55" s="40"/>
      <c r="R55" s="40"/>
      <c r="S55" s="40"/>
      <c r="T55" s="40"/>
    </row>
    <row r="56" spans="1:20" ht="15.75">
      <c r="A56" s="13">
        <v>42826</v>
      </c>
      <c r="B56" s="48">
        <v>30</v>
      </c>
      <c r="C56" s="39">
        <v>141.29300000000001</v>
      </c>
      <c r="D56" s="39">
        <v>267.99299999999999</v>
      </c>
      <c r="E56" s="45">
        <v>829.71400000000006</v>
      </c>
      <c r="F56" s="39">
        <v>1239</v>
      </c>
      <c r="G56" s="39">
        <v>100</v>
      </c>
      <c r="H56" s="47"/>
      <c r="I56" s="39">
        <v>695</v>
      </c>
      <c r="J56" s="39">
        <v>50</v>
      </c>
      <c r="K56" s="40"/>
      <c r="L56" s="49"/>
      <c r="M56" s="40"/>
      <c r="N56" s="40"/>
      <c r="O56" s="40"/>
      <c r="P56" s="40"/>
      <c r="Q56" s="40"/>
      <c r="R56" s="40"/>
      <c r="S56" s="40"/>
      <c r="T56" s="40"/>
    </row>
    <row r="57" spans="1:20" ht="15.75">
      <c r="A57" s="13">
        <v>42856</v>
      </c>
      <c r="B57" s="48">
        <v>31</v>
      </c>
      <c r="C57" s="39">
        <v>194.20500000000001</v>
      </c>
      <c r="D57" s="39">
        <v>267.46600000000001</v>
      </c>
      <c r="E57" s="45">
        <v>812.32899999999995</v>
      </c>
      <c r="F57" s="39">
        <v>1274</v>
      </c>
      <c r="G57" s="39">
        <v>75</v>
      </c>
      <c r="H57" s="47">
        <v>400</v>
      </c>
      <c r="I57" s="39">
        <v>695</v>
      </c>
      <c r="J57" s="39">
        <v>50</v>
      </c>
      <c r="K57" s="40"/>
      <c r="L57" s="49"/>
      <c r="M57" s="40"/>
      <c r="N57" s="40"/>
      <c r="O57" s="40"/>
      <c r="P57" s="40"/>
      <c r="Q57" s="40"/>
      <c r="R57" s="40"/>
      <c r="S57" s="40"/>
      <c r="T57" s="40"/>
    </row>
    <row r="58" spans="1:20" ht="15.75">
      <c r="A58" s="13">
        <v>42887</v>
      </c>
      <c r="B58" s="48">
        <v>30</v>
      </c>
      <c r="C58" s="39">
        <v>194.20500000000001</v>
      </c>
      <c r="D58" s="39">
        <v>267.46600000000001</v>
      </c>
      <c r="E58" s="45">
        <v>812.32899999999995</v>
      </c>
      <c r="F58" s="39">
        <v>1274</v>
      </c>
      <c r="G58" s="39">
        <v>50</v>
      </c>
      <c r="H58" s="47">
        <v>400</v>
      </c>
      <c r="I58" s="39">
        <v>695</v>
      </c>
      <c r="J58" s="39">
        <v>50</v>
      </c>
      <c r="K58" s="40"/>
      <c r="L58" s="49"/>
      <c r="M58" s="40"/>
      <c r="N58" s="40"/>
      <c r="O58" s="40"/>
      <c r="P58" s="40"/>
      <c r="Q58" s="40"/>
      <c r="R58" s="40"/>
      <c r="S58" s="40"/>
      <c r="T58" s="40"/>
    </row>
    <row r="59" spans="1:20" ht="15.75">
      <c r="A59" s="13">
        <v>42917</v>
      </c>
      <c r="B59" s="48">
        <v>31</v>
      </c>
      <c r="C59" s="39">
        <v>194.20500000000001</v>
      </c>
      <c r="D59" s="39">
        <v>267.46600000000001</v>
      </c>
      <c r="E59" s="45">
        <v>812.32899999999995</v>
      </c>
      <c r="F59" s="39">
        <v>1274</v>
      </c>
      <c r="G59" s="39">
        <v>50</v>
      </c>
      <c r="H59" s="47">
        <v>400</v>
      </c>
      <c r="I59" s="39">
        <v>695</v>
      </c>
      <c r="J59" s="39">
        <v>0</v>
      </c>
      <c r="K59" s="40"/>
      <c r="L59" s="49"/>
      <c r="M59" s="40"/>
      <c r="N59" s="40"/>
      <c r="O59" s="40"/>
      <c r="P59" s="40"/>
      <c r="Q59" s="40"/>
      <c r="R59" s="40"/>
      <c r="S59" s="40"/>
      <c r="T59" s="40"/>
    </row>
    <row r="60" spans="1:20" ht="15.75">
      <c r="A60" s="13">
        <v>42948</v>
      </c>
      <c r="B60" s="48">
        <v>31</v>
      </c>
      <c r="C60" s="39">
        <v>194.20500000000001</v>
      </c>
      <c r="D60" s="39">
        <v>267.46600000000001</v>
      </c>
      <c r="E60" s="45">
        <v>812.32899999999995</v>
      </c>
      <c r="F60" s="39">
        <v>1274</v>
      </c>
      <c r="G60" s="39">
        <v>50</v>
      </c>
      <c r="H60" s="47">
        <v>400</v>
      </c>
      <c r="I60" s="39">
        <v>695</v>
      </c>
      <c r="J60" s="39">
        <v>0</v>
      </c>
      <c r="K60" s="40"/>
      <c r="L60" s="49"/>
      <c r="M60" s="40"/>
      <c r="N60" s="40"/>
      <c r="O60" s="40"/>
      <c r="P60" s="40"/>
      <c r="Q60" s="40"/>
      <c r="R60" s="40"/>
      <c r="S60" s="40"/>
      <c r="T60" s="40"/>
    </row>
    <row r="61" spans="1:20" ht="15.75">
      <c r="A61" s="13">
        <v>42979</v>
      </c>
      <c r="B61" s="48">
        <v>30</v>
      </c>
      <c r="C61" s="39">
        <v>194.20500000000001</v>
      </c>
      <c r="D61" s="39">
        <v>267.46600000000001</v>
      </c>
      <c r="E61" s="45">
        <v>812.32899999999995</v>
      </c>
      <c r="F61" s="39">
        <v>1274</v>
      </c>
      <c r="G61" s="39">
        <v>50</v>
      </c>
      <c r="H61" s="47">
        <v>400</v>
      </c>
      <c r="I61" s="39">
        <v>695</v>
      </c>
      <c r="J61" s="39">
        <v>0</v>
      </c>
      <c r="K61" s="40"/>
      <c r="L61" s="49"/>
      <c r="M61" s="40"/>
      <c r="N61" s="40"/>
      <c r="O61" s="40"/>
      <c r="P61" s="40"/>
      <c r="Q61" s="40"/>
      <c r="R61" s="40"/>
      <c r="S61" s="40"/>
      <c r="T61" s="40"/>
    </row>
    <row r="62" spans="1:20" ht="15.75">
      <c r="A62" s="13">
        <v>43009</v>
      </c>
      <c r="B62" s="48">
        <v>31</v>
      </c>
      <c r="C62" s="39">
        <v>131.881</v>
      </c>
      <c r="D62" s="39">
        <v>277.16699999999997</v>
      </c>
      <c r="E62" s="45">
        <v>829.952</v>
      </c>
      <c r="F62" s="39">
        <v>1239</v>
      </c>
      <c r="G62" s="39">
        <v>75</v>
      </c>
      <c r="H62" s="47">
        <v>400</v>
      </c>
      <c r="I62" s="39">
        <v>695</v>
      </c>
      <c r="J62" s="39">
        <v>0</v>
      </c>
      <c r="K62" s="40"/>
      <c r="L62" s="49"/>
      <c r="M62" s="40"/>
      <c r="N62" s="40"/>
      <c r="O62" s="40"/>
      <c r="P62" s="40"/>
      <c r="Q62" s="40"/>
      <c r="R62" s="40"/>
      <c r="S62" s="40"/>
      <c r="T62" s="40"/>
    </row>
    <row r="63" spans="1:20" ht="15.75">
      <c r="A63" s="13">
        <v>43040</v>
      </c>
      <c r="B63" s="48">
        <v>30</v>
      </c>
      <c r="C63" s="39">
        <v>122.58</v>
      </c>
      <c r="D63" s="39">
        <v>297.94099999999997</v>
      </c>
      <c r="E63" s="45">
        <v>729.47900000000004</v>
      </c>
      <c r="F63" s="39">
        <v>1150</v>
      </c>
      <c r="G63" s="39">
        <v>100</v>
      </c>
      <c r="H63" s="47">
        <v>400</v>
      </c>
      <c r="I63" s="39">
        <v>695</v>
      </c>
      <c r="J63" s="39">
        <v>50</v>
      </c>
      <c r="K63" s="40"/>
      <c r="L63" s="49"/>
      <c r="M63" s="40"/>
      <c r="N63" s="40"/>
      <c r="O63" s="40"/>
      <c r="P63" s="40"/>
      <c r="Q63" s="40"/>
      <c r="R63" s="40"/>
      <c r="S63" s="40"/>
      <c r="T63" s="40"/>
    </row>
    <row r="64" spans="1:20" ht="15.75">
      <c r="A64" s="13">
        <v>43070</v>
      </c>
      <c r="B64" s="48">
        <v>31</v>
      </c>
      <c r="C64" s="39">
        <v>122.58</v>
      </c>
      <c r="D64" s="39">
        <v>297.94099999999997</v>
      </c>
      <c r="E64" s="45">
        <v>729.47900000000004</v>
      </c>
      <c r="F64" s="39">
        <v>1150</v>
      </c>
      <c r="G64" s="39">
        <v>100</v>
      </c>
      <c r="H64" s="47">
        <v>400</v>
      </c>
      <c r="I64" s="39">
        <v>695</v>
      </c>
      <c r="J64" s="39">
        <v>50</v>
      </c>
      <c r="K64" s="40"/>
      <c r="L64" s="49"/>
      <c r="M64" s="40"/>
      <c r="N64" s="40"/>
      <c r="O64" s="40"/>
      <c r="P64" s="40"/>
      <c r="Q64" s="40"/>
      <c r="R64" s="40"/>
      <c r="S64" s="40"/>
      <c r="T64" s="40"/>
    </row>
    <row r="65" spans="1:20" ht="15.75">
      <c r="A65" s="13">
        <v>43101</v>
      </c>
      <c r="B65" s="48">
        <v>31</v>
      </c>
      <c r="C65" s="39">
        <v>122.58</v>
      </c>
      <c r="D65" s="39">
        <v>297.94099999999997</v>
      </c>
      <c r="E65" s="45">
        <v>729.47900000000004</v>
      </c>
      <c r="F65" s="39">
        <v>1150</v>
      </c>
      <c r="G65" s="39">
        <v>100</v>
      </c>
      <c r="H65" s="47">
        <v>400</v>
      </c>
      <c r="I65" s="39">
        <v>695</v>
      </c>
      <c r="J65" s="39">
        <v>50</v>
      </c>
      <c r="K65" s="40"/>
      <c r="L65" s="49"/>
      <c r="M65" s="40"/>
      <c r="N65" s="40"/>
      <c r="O65" s="40"/>
      <c r="P65" s="40"/>
      <c r="Q65" s="40"/>
      <c r="R65" s="40"/>
      <c r="S65" s="40"/>
      <c r="T65" s="40"/>
    </row>
    <row r="66" spans="1:20" ht="15.75">
      <c r="A66" s="13">
        <v>43132</v>
      </c>
      <c r="B66" s="48">
        <v>28</v>
      </c>
      <c r="C66" s="39">
        <v>122.58</v>
      </c>
      <c r="D66" s="39">
        <v>297.94099999999997</v>
      </c>
      <c r="E66" s="45">
        <v>729.47900000000004</v>
      </c>
      <c r="F66" s="39">
        <v>1150</v>
      </c>
      <c r="G66" s="39">
        <v>100</v>
      </c>
      <c r="H66" s="47">
        <v>400</v>
      </c>
      <c r="I66" s="39">
        <v>695</v>
      </c>
      <c r="J66" s="39">
        <v>50</v>
      </c>
      <c r="K66" s="40"/>
      <c r="L66" s="49"/>
      <c r="M66" s="40"/>
      <c r="N66" s="40"/>
      <c r="O66" s="40"/>
      <c r="P66" s="40"/>
      <c r="Q66" s="40"/>
      <c r="R66" s="40"/>
      <c r="S66" s="40"/>
      <c r="T66" s="40"/>
    </row>
    <row r="67" spans="1:20" ht="15.75">
      <c r="A67" s="13">
        <v>43160</v>
      </c>
      <c r="B67" s="48">
        <v>31</v>
      </c>
      <c r="C67" s="39">
        <v>122.58</v>
      </c>
      <c r="D67" s="39">
        <v>297.94099999999997</v>
      </c>
      <c r="E67" s="45">
        <v>729.47900000000004</v>
      </c>
      <c r="F67" s="39">
        <v>1150</v>
      </c>
      <c r="G67" s="39">
        <v>100</v>
      </c>
      <c r="H67" s="47">
        <v>400</v>
      </c>
      <c r="I67" s="39">
        <v>695</v>
      </c>
      <c r="J67" s="39">
        <v>50</v>
      </c>
      <c r="K67" s="40"/>
      <c r="L67" s="49"/>
      <c r="M67" s="40"/>
      <c r="N67" s="40"/>
      <c r="O67" s="40"/>
      <c r="P67" s="40"/>
      <c r="Q67" s="40"/>
      <c r="R67" s="40"/>
      <c r="S67" s="40"/>
      <c r="T67" s="40"/>
    </row>
    <row r="68" spans="1:20" ht="15.75">
      <c r="A68" s="13">
        <v>43191</v>
      </c>
      <c r="B68" s="48">
        <v>30</v>
      </c>
      <c r="C68" s="39">
        <v>141.29300000000001</v>
      </c>
      <c r="D68" s="39">
        <v>267.99299999999999</v>
      </c>
      <c r="E68" s="45">
        <v>829.71400000000006</v>
      </c>
      <c r="F68" s="39">
        <v>1239</v>
      </c>
      <c r="G68" s="39">
        <v>100</v>
      </c>
      <c r="H68" s="47">
        <v>400</v>
      </c>
      <c r="I68" s="39">
        <v>695</v>
      </c>
      <c r="J68" s="39">
        <v>50</v>
      </c>
      <c r="K68" s="40"/>
      <c r="L68" s="49"/>
      <c r="M68" s="40"/>
      <c r="N68" s="40"/>
      <c r="O68" s="40"/>
      <c r="P68" s="40"/>
      <c r="Q68" s="40"/>
      <c r="R68" s="40"/>
      <c r="S68" s="40"/>
      <c r="T68" s="40"/>
    </row>
    <row r="69" spans="1:20" ht="15.75">
      <c r="A69" s="13">
        <v>43221</v>
      </c>
      <c r="B69" s="48">
        <v>31</v>
      </c>
      <c r="C69" s="39">
        <v>194.20500000000001</v>
      </c>
      <c r="D69" s="39">
        <v>267.46600000000001</v>
      </c>
      <c r="E69" s="45">
        <v>812.32899999999995</v>
      </c>
      <c r="F69" s="39">
        <v>1274</v>
      </c>
      <c r="G69" s="39">
        <v>75</v>
      </c>
      <c r="H69" s="47">
        <v>400</v>
      </c>
      <c r="I69" s="39">
        <v>695</v>
      </c>
      <c r="J69" s="39">
        <v>50</v>
      </c>
      <c r="K69" s="40"/>
      <c r="L69" s="49"/>
      <c r="M69" s="40"/>
      <c r="N69" s="40"/>
      <c r="O69" s="40"/>
      <c r="P69" s="40"/>
      <c r="Q69" s="40"/>
      <c r="R69" s="40"/>
      <c r="S69" s="40"/>
      <c r="T69" s="40"/>
    </row>
    <row r="70" spans="1:20" ht="15.75">
      <c r="A70" s="13">
        <v>43252</v>
      </c>
      <c r="B70" s="48">
        <v>30</v>
      </c>
      <c r="C70" s="39">
        <v>194.20500000000001</v>
      </c>
      <c r="D70" s="39">
        <v>267.46600000000001</v>
      </c>
      <c r="E70" s="45">
        <v>812.32899999999995</v>
      </c>
      <c r="F70" s="39">
        <v>1274</v>
      </c>
      <c r="G70" s="39">
        <v>50</v>
      </c>
      <c r="H70" s="47">
        <v>400</v>
      </c>
      <c r="I70" s="39">
        <v>695</v>
      </c>
      <c r="J70" s="39">
        <v>50</v>
      </c>
      <c r="K70" s="40"/>
      <c r="L70" s="49"/>
      <c r="M70" s="40"/>
      <c r="N70" s="40"/>
      <c r="O70" s="40"/>
      <c r="P70" s="40"/>
      <c r="Q70" s="40"/>
      <c r="R70" s="40"/>
      <c r="S70" s="40"/>
      <c r="T70" s="40"/>
    </row>
    <row r="71" spans="1:20" ht="15.75">
      <c r="A71" s="13">
        <v>43282</v>
      </c>
      <c r="B71" s="48">
        <v>31</v>
      </c>
      <c r="C71" s="39">
        <v>194.20500000000001</v>
      </c>
      <c r="D71" s="39">
        <v>267.46600000000001</v>
      </c>
      <c r="E71" s="45">
        <v>812.32899999999995</v>
      </c>
      <c r="F71" s="39">
        <v>1274</v>
      </c>
      <c r="G71" s="39">
        <v>50</v>
      </c>
      <c r="H71" s="47">
        <v>400</v>
      </c>
      <c r="I71" s="39">
        <v>695</v>
      </c>
      <c r="J71" s="39">
        <v>0</v>
      </c>
      <c r="K71" s="40"/>
      <c r="L71" s="49"/>
      <c r="M71" s="40"/>
      <c r="N71" s="40"/>
      <c r="O71" s="40"/>
      <c r="P71" s="40"/>
      <c r="Q71" s="40"/>
      <c r="R71" s="40"/>
      <c r="S71" s="40"/>
      <c r="T71" s="40"/>
    </row>
    <row r="72" spans="1:20" ht="15.75">
      <c r="A72" s="13">
        <v>43313</v>
      </c>
      <c r="B72" s="48">
        <v>31</v>
      </c>
      <c r="C72" s="39">
        <v>194.20500000000001</v>
      </c>
      <c r="D72" s="39">
        <v>267.46600000000001</v>
      </c>
      <c r="E72" s="45">
        <v>812.32899999999995</v>
      </c>
      <c r="F72" s="39">
        <v>1274</v>
      </c>
      <c r="G72" s="39">
        <v>50</v>
      </c>
      <c r="H72" s="47">
        <v>400</v>
      </c>
      <c r="I72" s="39">
        <v>695</v>
      </c>
      <c r="J72" s="39">
        <v>0</v>
      </c>
      <c r="K72" s="40"/>
      <c r="L72" s="49"/>
      <c r="M72" s="40"/>
      <c r="N72" s="40"/>
      <c r="O72" s="40"/>
      <c r="P72" s="40"/>
      <c r="Q72" s="40"/>
      <c r="R72" s="40"/>
      <c r="S72" s="40"/>
      <c r="T72" s="40"/>
    </row>
    <row r="73" spans="1:20" ht="15.75">
      <c r="A73" s="13">
        <v>43344</v>
      </c>
      <c r="B73" s="48">
        <v>30</v>
      </c>
      <c r="C73" s="39">
        <v>194.20500000000001</v>
      </c>
      <c r="D73" s="39">
        <v>267.46600000000001</v>
      </c>
      <c r="E73" s="45">
        <v>812.32899999999995</v>
      </c>
      <c r="F73" s="39">
        <v>1274</v>
      </c>
      <c r="G73" s="39">
        <v>50</v>
      </c>
      <c r="H73" s="47">
        <v>400</v>
      </c>
      <c r="I73" s="39">
        <v>695</v>
      </c>
      <c r="J73" s="39">
        <v>0</v>
      </c>
      <c r="K73" s="40"/>
      <c r="L73" s="49"/>
      <c r="M73" s="40"/>
      <c r="N73" s="40"/>
      <c r="O73" s="40"/>
      <c r="P73" s="40"/>
      <c r="Q73" s="40"/>
      <c r="R73" s="40"/>
      <c r="S73" s="40"/>
      <c r="T73" s="40"/>
    </row>
    <row r="74" spans="1:20" ht="15.75">
      <c r="A74" s="13">
        <v>43374</v>
      </c>
      <c r="B74" s="48">
        <v>31</v>
      </c>
      <c r="C74" s="39">
        <v>131.881</v>
      </c>
      <c r="D74" s="39">
        <v>277.16699999999997</v>
      </c>
      <c r="E74" s="45">
        <v>829.952</v>
      </c>
      <c r="F74" s="39">
        <v>1239</v>
      </c>
      <c r="G74" s="39">
        <v>75</v>
      </c>
      <c r="H74" s="47">
        <v>400</v>
      </c>
      <c r="I74" s="39">
        <v>695</v>
      </c>
      <c r="J74" s="39">
        <v>0</v>
      </c>
      <c r="K74" s="40"/>
      <c r="L74" s="49"/>
      <c r="M74" s="40"/>
      <c r="N74" s="40"/>
      <c r="O74" s="40"/>
      <c r="P74" s="40"/>
      <c r="Q74" s="40"/>
      <c r="R74" s="40"/>
      <c r="S74" s="40"/>
      <c r="T74" s="40"/>
    </row>
    <row r="75" spans="1:20" ht="15.75">
      <c r="A75" s="13">
        <v>43405</v>
      </c>
      <c r="B75" s="48">
        <v>30</v>
      </c>
      <c r="C75" s="39">
        <v>122.58</v>
      </c>
      <c r="D75" s="39">
        <v>297.94099999999997</v>
      </c>
      <c r="E75" s="45">
        <v>729.47900000000004</v>
      </c>
      <c r="F75" s="39">
        <v>1150</v>
      </c>
      <c r="G75" s="39">
        <v>100</v>
      </c>
      <c r="H75" s="47">
        <v>400</v>
      </c>
      <c r="I75" s="39">
        <v>695</v>
      </c>
      <c r="J75" s="39">
        <v>50</v>
      </c>
      <c r="K75" s="40"/>
      <c r="L75" s="49"/>
      <c r="M75" s="40"/>
      <c r="N75" s="40"/>
      <c r="O75" s="40"/>
      <c r="P75" s="40"/>
      <c r="Q75" s="40"/>
      <c r="R75" s="40"/>
      <c r="S75" s="40"/>
      <c r="T75" s="40"/>
    </row>
    <row r="76" spans="1:20" ht="15.75">
      <c r="A76" s="13">
        <v>43435</v>
      </c>
      <c r="B76" s="48">
        <v>31</v>
      </c>
      <c r="C76" s="39">
        <v>122.58</v>
      </c>
      <c r="D76" s="39">
        <v>297.94099999999997</v>
      </c>
      <c r="E76" s="45">
        <v>729.47900000000004</v>
      </c>
      <c r="F76" s="39">
        <v>1150</v>
      </c>
      <c r="G76" s="39">
        <v>100</v>
      </c>
      <c r="H76" s="47">
        <v>400</v>
      </c>
      <c r="I76" s="39">
        <v>695</v>
      </c>
      <c r="J76" s="39">
        <v>50</v>
      </c>
      <c r="K76" s="40"/>
      <c r="L76" s="49"/>
      <c r="M76" s="40"/>
      <c r="N76" s="40"/>
      <c r="O76" s="40"/>
      <c r="P76" s="40"/>
      <c r="Q76" s="40"/>
      <c r="R76" s="40"/>
      <c r="S76" s="40"/>
      <c r="T76" s="40"/>
    </row>
    <row r="77" spans="1:20" ht="15.75">
      <c r="A77" s="13">
        <v>43466</v>
      </c>
      <c r="B77" s="48">
        <v>31</v>
      </c>
      <c r="C77" s="39">
        <v>122.58</v>
      </c>
      <c r="D77" s="39">
        <v>297.94099999999997</v>
      </c>
      <c r="E77" s="45">
        <v>729.47900000000004</v>
      </c>
      <c r="F77" s="39">
        <v>1150</v>
      </c>
      <c r="G77" s="39">
        <v>100</v>
      </c>
      <c r="H77" s="47">
        <v>400</v>
      </c>
      <c r="I77" s="39">
        <v>695</v>
      </c>
      <c r="J77" s="39">
        <v>50</v>
      </c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1:20" ht="15.75">
      <c r="A78" s="13">
        <v>43497</v>
      </c>
      <c r="B78" s="48">
        <v>28</v>
      </c>
      <c r="C78" s="39">
        <v>122.58</v>
      </c>
      <c r="D78" s="39">
        <v>297.94099999999997</v>
      </c>
      <c r="E78" s="45">
        <v>729.47900000000004</v>
      </c>
      <c r="F78" s="39">
        <v>1150</v>
      </c>
      <c r="G78" s="39">
        <v>100</v>
      </c>
      <c r="H78" s="47">
        <v>400</v>
      </c>
      <c r="I78" s="39">
        <v>695</v>
      </c>
      <c r="J78" s="39">
        <v>50</v>
      </c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pans="1:20" ht="15.75">
      <c r="A79" s="13">
        <v>43525</v>
      </c>
      <c r="B79" s="48">
        <v>31</v>
      </c>
      <c r="C79" s="39">
        <v>122.58</v>
      </c>
      <c r="D79" s="39">
        <v>297.94099999999997</v>
      </c>
      <c r="E79" s="45">
        <v>729.47900000000004</v>
      </c>
      <c r="F79" s="39">
        <v>1150</v>
      </c>
      <c r="G79" s="39">
        <v>100</v>
      </c>
      <c r="H79" s="47">
        <v>400</v>
      </c>
      <c r="I79" s="39">
        <v>695</v>
      </c>
      <c r="J79" s="39">
        <v>50</v>
      </c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1:20" ht="15.75">
      <c r="A80" s="13">
        <v>43556</v>
      </c>
      <c r="B80" s="48">
        <v>30</v>
      </c>
      <c r="C80" s="39">
        <v>141.29300000000001</v>
      </c>
      <c r="D80" s="39">
        <v>267.99299999999999</v>
      </c>
      <c r="E80" s="45">
        <v>829.71400000000006</v>
      </c>
      <c r="F80" s="39">
        <v>1239</v>
      </c>
      <c r="G80" s="39">
        <v>100</v>
      </c>
      <c r="H80" s="47">
        <v>400</v>
      </c>
      <c r="I80" s="39">
        <v>695</v>
      </c>
      <c r="J80" s="39">
        <v>50</v>
      </c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pans="1:20" ht="15.75">
      <c r="A81" s="13">
        <v>43586</v>
      </c>
      <c r="B81" s="48">
        <v>31</v>
      </c>
      <c r="C81" s="39">
        <v>194.20500000000001</v>
      </c>
      <c r="D81" s="39">
        <v>267.46600000000001</v>
      </c>
      <c r="E81" s="45">
        <v>812.32899999999995</v>
      </c>
      <c r="F81" s="39">
        <v>1274</v>
      </c>
      <c r="G81" s="39">
        <v>75</v>
      </c>
      <c r="H81" s="47">
        <v>400</v>
      </c>
      <c r="I81" s="39">
        <v>695</v>
      </c>
      <c r="J81" s="39">
        <v>50</v>
      </c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pans="1:20" ht="15.75">
      <c r="A82" s="13">
        <v>43617</v>
      </c>
      <c r="B82" s="48">
        <v>30</v>
      </c>
      <c r="C82" s="39">
        <v>194.20500000000001</v>
      </c>
      <c r="D82" s="39">
        <v>267.46600000000001</v>
      </c>
      <c r="E82" s="45">
        <v>812.32899999999995</v>
      </c>
      <c r="F82" s="39">
        <v>1274</v>
      </c>
      <c r="G82" s="39">
        <v>50</v>
      </c>
      <c r="H82" s="47">
        <v>400</v>
      </c>
      <c r="I82" s="39">
        <v>695</v>
      </c>
      <c r="J82" s="39">
        <v>50</v>
      </c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pans="1:20" ht="15.75">
      <c r="A83" s="13">
        <v>43647</v>
      </c>
      <c r="B83" s="48">
        <v>31</v>
      </c>
      <c r="C83" s="39">
        <v>194.20500000000001</v>
      </c>
      <c r="D83" s="39">
        <v>267.46600000000001</v>
      </c>
      <c r="E83" s="45">
        <v>812.32899999999995</v>
      </c>
      <c r="F83" s="39">
        <v>1274</v>
      </c>
      <c r="G83" s="39">
        <v>50</v>
      </c>
      <c r="H83" s="47">
        <v>400</v>
      </c>
      <c r="I83" s="39">
        <v>695</v>
      </c>
      <c r="J83" s="39">
        <v>0</v>
      </c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pans="1:20" ht="15.75">
      <c r="A84" s="13">
        <v>43678</v>
      </c>
      <c r="B84" s="48">
        <v>31</v>
      </c>
      <c r="C84" s="39">
        <v>194.20500000000001</v>
      </c>
      <c r="D84" s="39">
        <v>267.46600000000001</v>
      </c>
      <c r="E84" s="45">
        <v>812.32899999999995</v>
      </c>
      <c r="F84" s="39">
        <v>1274</v>
      </c>
      <c r="G84" s="39">
        <v>50</v>
      </c>
      <c r="H84" s="47">
        <v>400</v>
      </c>
      <c r="I84" s="39">
        <v>695</v>
      </c>
      <c r="J84" s="39">
        <v>0</v>
      </c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pans="1:20" ht="15.75">
      <c r="A85" s="13">
        <v>43709</v>
      </c>
      <c r="B85" s="48">
        <v>30</v>
      </c>
      <c r="C85" s="39">
        <v>194.20500000000001</v>
      </c>
      <c r="D85" s="39">
        <v>267.46600000000001</v>
      </c>
      <c r="E85" s="45">
        <v>812.32899999999995</v>
      </c>
      <c r="F85" s="39">
        <v>1274</v>
      </c>
      <c r="G85" s="39">
        <v>50</v>
      </c>
      <c r="H85" s="47">
        <v>400</v>
      </c>
      <c r="I85" s="39">
        <v>695</v>
      </c>
      <c r="J85" s="39">
        <v>0</v>
      </c>
      <c r="K85" s="40"/>
      <c r="L85" s="40"/>
      <c r="M85" s="40"/>
      <c r="N85" s="40"/>
      <c r="O85" s="40"/>
      <c r="P85" s="40"/>
      <c r="Q85" s="40"/>
      <c r="R85" s="40"/>
      <c r="S85" s="40"/>
      <c r="T85" s="40"/>
    </row>
    <row r="86" spans="1:20" ht="15.75">
      <c r="A86" s="13">
        <v>43739</v>
      </c>
      <c r="B86" s="48">
        <v>31</v>
      </c>
      <c r="C86" s="39">
        <v>131.881</v>
      </c>
      <c r="D86" s="39">
        <v>277.16699999999997</v>
      </c>
      <c r="E86" s="45">
        <v>829.952</v>
      </c>
      <c r="F86" s="39">
        <v>1239</v>
      </c>
      <c r="G86" s="39">
        <v>75</v>
      </c>
      <c r="H86" s="47">
        <v>400</v>
      </c>
      <c r="I86" s="39">
        <v>695</v>
      </c>
      <c r="J86" s="39">
        <v>0</v>
      </c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1:20" ht="15.75">
      <c r="A87" s="13">
        <v>43770</v>
      </c>
      <c r="B87" s="48">
        <v>30</v>
      </c>
      <c r="C87" s="39">
        <v>122.58</v>
      </c>
      <c r="D87" s="39">
        <v>297.94099999999997</v>
      </c>
      <c r="E87" s="45">
        <v>729.47900000000004</v>
      </c>
      <c r="F87" s="39">
        <v>1150</v>
      </c>
      <c r="G87" s="39">
        <v>100</v>
      </c>
      <c r="H87" s="47">
        <v>400</v>
      </c>
      <c r="I87" s="39">
        <v>695</v>
      </c>
      <c r="J87" s="39">
        <v>50</v>
      </c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1:20" ht="15.75">
      <c r="A88" s="13">
        <v>43800</v>
      </c>
      <c r="B88" s="48">
        <v>31</v>
      </c>
      <c r="C88" s="39">
        <v>122.58</v>
      </c>
      <c r="D88" s="39">
        <v>297.94099999999997</v>
      </c>
      <c r="E88" s="45">
        <v>729.47900000000004</v>
      </c>
      <c r="F88" s="39">
        <v>1150</v>
      </c>
      <c r="G88" s="39">
        <v>100</v>
      </c>
      <c r="H88" s="47">
        <v>400</v>
      </c>
      <c r="I88" s="39">
        <v>695</v>
      </c>
      <c r="J88" s="39">
        <v>50</v>
      </c>
      <c r="K88" s="40"/>
      <c r="L88" s="40"/>
      <c r="M88" s="40"/>
      <c r="N88" s="40"/>
      <c r="O88" s="40"/>
      <c r="P88" s="40"/>
      <c r="Q88" s="40"/>
      <c r="R88" s="40"/>
      <c r="S88" s="40"/>
      <c r="T88" s="40"/>
    </row>
    <row r="89" spans="1:20" ht="15.75">
      <c r="A89" s="13">
        <v>43831</v>
      </c>
      <c r="B89" s="48">
        <v>31</v>
      </c>
      <c r="C89" s="39">
        <v>122.58</v>
      </c>
      <c r="D89" s="39">
        <v>297.94099999999997</v>
      </c>
      <c r="E89" s="45">
        <v>729.47900000000004</v>
      </c>
      <c r="F89" s="39">
        <v>1150</v>
      </c>
      <c r="G89" s="39">
        <v>100</v>
      </c>
      <c r="H89" s="47">
        <v>400</v>
      </c>
      <c r="I89" s="39">
        <v>695</v>
      </c>
      <c r="J89" s="39">
        <v>50</v>
      </c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1:20" ht="15.75">
      <c r="A90" s="13">
        <v>43862</v>
      </c>
      <c r="B90" s="48">
        <v>29</v>
      </c>
      <c r="C90" s="39">
        <v>122.58</v>
      </c>
      <c r="D90" s="39">
        <v>297.94099999999997</v>
      </c>
      <c r="E90" s="45">
        <v>729.47900000000004</v>
      </c>
      <c r="F90" s="39">
        <v>1150</v>
      </c>
      <c r="G90" s="39">
        <v>100</v>
      </c>
      <c r="H90" s="47">
        <v>400</v>
      </c>
      <c r="I90" s="39">
        <v>695</v>
      </c>
      <c r="J90" s="39">
        <v>50</v>
      </c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pans="1:20" ht="15.75">
      <c r="A91" s="13">
        <v>43891</v>
      </c>
      <c r="B91" s="48">
        <v>31</v>
      </c>
      <c r="C91" s="39">
        <v>122.58</v>
      </c>
      <c r="D91" s="39">
        <v>297.94099999999997</v>
      </c>
      <c r="E91" s="45">
        <v>729.47900000000004</v>
      </c>
      <c r="F91" s="39">
        <v>1150</v>
      </c>
      <c r="G91" s="39">
        <v>100</v>
      </c>
      <c r="H91" s="47">
        <v>400</v>
      </c>
      <c r="I91" s="39">
        <v>695</v>
      </c>
      <c r="J91" s="39">
        <v>50</v>
      </c>
      <c r="K91" s="40"/>
      <c r="L91" s="40"/>
      <c r="M91" s="40"/>
      <c r="N91" s="40"/>
      <c r="O91" s="40"/>
      <c r="P91" s="40"/>
      <c r="Q91" s="40"/>
      <c r="R91" s="40"/>
      <c r="S91" s="40"/>
      <c r="T91" s="40"/>
    </row>
    <row r="92" spans="1:20" ht="15.75">
      <c r="A92" s="13">
        <v>43922</v>
      </c>
      <c r="B92" s="48">
        <v>30</v>
      </c>
      <c r="C92" s="39">
        <v>141.29300000000001</v>
      </c>
      <c r="D92" s="39">
        <v>267.99299999999999</v>
      </c>
      <c r="E92" s="45">
        <v>829.71400000000006</v>
      </c>
      <c r="F92" s="39">
        <v>1239</v>
      </c>
      <c r="G92" s="39">
        <v>100</v>
      </c>
      <c r="H92" s="47">
        <v>400</v>
      </c>
      <c r="I92" s="39">
        <v>695</v>
      </c>
      <c r="J92" s="39">
        <v>50</v>
      </c>
      <c r="K92" s="40"/>
      <c r="L92" s="40"/>
      <c r="M92" s="40"/>
      <c r="N92" s="40"/>
      <c r="O92" s="40"/>
      <c r="P92" s="40"/>
      <c r="Q92" s="40"/>
      <c r="R92" s="40"/>
      <c r="S92" s="40"/>
      <c r="T92" s="40"/>
    </row>
    <row r="93" spans="1:20" ht="15.75">
      <c r="A93" s="13">
        <v>43952</v>
      </c>
      <c r="B93" s="48">
        <v>31</v>
      </c>
      <c r="C93" s="39">
        <v>194.20500000000001</v>
      </c>
      <c r="D93" s="39">
        <v>267.46600000000001</v>
      </c>
      <c r="E93" s="45">
        <v>812.32899999999995</v>
      </c>
      <c r="F93" s="39">
        <v>1274</v>
      </c>
      <c r="G93" s="39">
        <v>75</v>
      </c>
      <c r="H93" s="47">
        <v>600</v>
      </c>
      <c r="I93" s="39">
        <v>695</v>
      </c>
      <c r="J93" s="39">
        <v>50</v>
      </c>
      <c r="K93" s="40"/>
      <c r="L93" s="40"/>
      <c r="M93" s="40"/>
      <c r="N93" s="40"/>
      <c r="O93" s="40"/>
      <c r="P93" s="40"/>
      <c r="Q93" s="40"/>
      <c r="R93" s="40"/>
      <c r="S93" s="40"/>
      <c r="T93" s="40"/>
    </row>
    <row r="94" spans="1:20" ht="15.75">
      <c r="A94" s="13">
        <v>43983</v>
      </c>
      <c r="B94" s="48">
        <v>30</v>
      </c>
      <c r="C94" s="39">
        <v>194.20500000000001</v>
      </c>
      <c r="D94" s="39">
        <v>267.46600000000001</v>
      </c>
      <c r="E94" s="45">
        <v>812.32899999999995</v>
      </c>
      <c r="F94" s="39">
        <v>1274</v>
      </c>
      <c r="G94" s="39">
        <v>50</v>
      </c>
      <c r="H94" s="47">
        <v>600</v>
      </c>
      <c r="I94" s="39">
        <v>695</v>
      </c>
      <c r="J94" s="39">
        <v>50</v>
      </c>
      <c r="K94" s="40"/>
      <c r="L94" s="40"/>
      <c r="M94" s="40"/>
      <c r="N94" s="40"/>
      <c r="O94" s="40"/>
      <c r="P94" s="40"/>
      <c r="Q94" s="40"/>
      <c r="R94" s="40"/>
      <c r="S94" s="40"/>
      <c r="T94" s="40"/>
    </row>
    <row r="95" spans="1:20" ht="15.75">
      <c r="A95" s="13">
        <v>44013</v>
      </c>
      <c r="B95" s="48">
        <v>31</v>
      </c>
      <c r="C95" s="39">
        <v>194.20500000000001</v>
      </c>
      <c r="D95" s="39">
        <v>267.46600000000001</v>
      </c>
      <c r="E95" s="45">
        <v>812.32899999999995</v>
      </c>
      <c r="F95" s="39">
        <v>1274</v>
      </c>
      <c r="G95" s="39">
        <v>50</v>
      </c>
      <c r="H95" s="47">
        <v>600</v>
      </c>
      <c r="I95" s="39">
        <v>695</v>
      </c>
      <c r="J95" s="39">
        <v>0</v>
      </c>
      <c r="K95" s="40"/>
      <c r="L95" s="40"/>
      <c r="M95" s="40"/>
      <c r="N95" s="40"/>
      <c r="O95" s="40"/>
      <c r="P95" s="40"/>
      <c r="Q95" s="40"/>
      <c r="R95" s="40"/>
      <c r="S95" s="40"/>
      <c r="T95" s="40"/>
    </row>
    <row r="96" spans="1:20" ht="15.75">
      <c r="A96" s="13">
        <v>44044</v>
      </c>
      <c r="B96" s="48">
        <v>31</v>
      </c>
      <c r="C96" s="39">
        <v>194.20500000000001</v>
      </c>
      <c r="D96" s="39">
        <v>267.46600000000001</v>
      </c>
      <c r="E96" s="45">
        <v>812.32899999999995</v>
      </c>
      <c r="F96" s="39">
        <v>1274</v>
      </c>
      <c r="G96" s="39">
        <v>50</v>
      </c>
      <c r="H96" s="47">
        <v>600</v>
      </c>
      <c r="I96" s="39">
        <v>695</v>
      </c>
      <c r="J96" s="39">
        <v>0</v>
      </c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1:20" ht="15.75">
      <c r="A97" s="13">
        <v>44075</v>
      </c>
      <c r="B97" s="48">
        <v>30</v>
      </c>
      <c r="C97" s="39">
        <v>194.20500000000001</v>
      </c>
      <c r="D97" s="39">
        <v>267.46600000000001</v>
      </c>
      <c r="E97" s="45">
        <v>812.32899999999995</v>
      </c>
      <c r="F97" s="39">
        <v>1274</v>
      </c>
      <c r="G97" s="39">
        <v>50</v>
      </c>
      <c r="H97" s="47">
        <v>600</v>
      </c>
      <c r="I97" s="39">
        <v>695</v>
      </c>
      <c r="J97" s="39">
        <v>0</v>
      </c>
      <c r="K97" s="40"/>
      <c r="L97" s="40"/>
      <c r="M97" s="40"/>
      <c r="N97" s="40"/>
      <c r="O97" s="40"/>
      <c r="P97" s="40"/>
      <c r="Q97" s="40"/>
      <c r="R97" s="40"/>
      <c r="S97" s="40"/>
      <c r="T97" s="40"/>
    </row>
    <row r="98" spans="1:20" ht="15.75">
      <c r="A98" s="13">
        <v>44105</v>
      </c>
      <c r="B98" s="48">
        <v>31</v>
      </c>
      <c r="C98" s="39">
        <v>131.881</v>
      </c>
      <c r="D98" s="39">
        <v>277.16699999999997</v>
      </c>
      <c r="E98" s="45">
        <v>829.952</v>
      </c>
      <c r="F98" s="39">
        <v>1239</v>
      </c>
      <c r="G98" s="39">
        <v>75</v>
      </c>
      <c r="H98" s="47">
        <v>600</v>
      </c>
      <c r="I98" s="39">
        <v>695</v>
      </c>
      <c r="J98" s="39">
        <v>0</v>
      </c>
      <c r="K98" s="40"/>
      <c r="L98" s="40"/>
      <c r="M98" s="40"/>
      <c r="N98" s="40"/>
      <c r="O98" s="40"/>
      <c r="P98" s="40"/>
      <c r="Q98" s="40"/>
      <c r="R98" s="40"/>
      <c r="S98" s="40"/>
      <c r="T98" s="40"/>
    </row>
    <row r="99" spans="1:20" ht="15.75">
      <c r="A99" s="13">
        <v>44136</v>
      </c>
      <c r="B99" s="48">
        <v>30</v>
      </c>
      <c r="C99" s="39">
        <v>122.58</v>
      </c>
      <c r="D99" s="39">
        <v>297.94099999999997</v>
      </c>
      <c r="E99" s="45">
        <v>729.47900000000004</v>
      </c>
      <c r="F99" s="39">
        <v>1150</v>
      </c>
      <c r="G99" s="39">
        <v>100</v>
      </c>
      <c r="H99" s="47">
        <v>600</v>
      </c>
      <c r="I99" s="39">
        <v>695</v>
      </c>
      <c r="J99" s="39">
        <v>50</v>
      </c>
      <c r="K99" s="40"/>
      <c r="L99" s="40"/>
      <c r="M99" s="40"/>
      <c r="N99" s="40"/>
      <c r="O99" s="40"/>
      <c r="P99" s="40"/>
      <c r="Q99" s="40"/>
      <c r="R99" s="40"/>
      <c r="S99" s="40"/>
      <c r="T99" s="40"/>
    </row>
    <row r="100" spans="1:20" ht="15.75">
      <c r="A100" s="13">
        <v>44166</v>
      </c>
      <c r="B100" s="48">
        <v>31</v>
      </c>
      <c r="C100" s="39">
        <v>122.58</v>
      </c>
      <c r="D100" s="39">
        <v>297.94099999999997</v>
      </c>
      <c r="E100" s="45">
        <v>729.47900000000004</v>
      </c>
      <c r="F100" s="39">
        <v>1150</v>
      </c>
      <c r="G100" s="39">
        <v>100</v>
      </c>
      <c r="H100" s="47">
        <v>600</v>
      </c>
      <c r="I100" s="39">
        <v>695</v>
      </c>
      <c r="J100" s="39">
        <v>50</v>
      </c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1:20" ht="15.75">
      <c r="A101" s="13">
        <v>44197</v>
      </c>
      <c r="B101" s="48">
        <v>31</v>
      </c>
      <c r="C101" s="39">
        <v>122.58</v>
      </c>
      <c r="D101" s="39">
        <v>297.94099999999997</v>
      </c>
      <c r="E101" s="45">
        <v>729.47900000000004</v>
      </c>
      <c r="F101" s="39">
        <v>1150</v>
      </c>
      <c r="G101" s="39">
        <v>100</v>
      </c>
      <c r="H101" s="47">
        <v>600</v>
      </c>
      <c r="I101" s="39">
        <v>695</v>
      </c>
      <c r="J101" s="39">
        <v>50</v>
      </c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1:20" ht="15.75">
      <c r="A102" s="13">
        <v>44228</v>
      </c>
      <c r="B102" s="48">
        <v>28</v>
      </c>
      <c r="C102" s="39">
        <v>122.58</v>
      </c>
      <c r="D102" s="39">
        <v>297.94099999999997</v>
      </c>
      <c r="E102" s="45">
        <v>729.47900000000004</v>
      </c>
      <c r="F102" s="39">
        <v>1150</v>
      </c>
      <c r="G102" s="39">
        <v>100</v>
      </c>
      <c r="H102" s="47">
        <v>600</v>
      </c>
      <c r="I102" s="39">
        <v>695</v>
      </c>
      <c r="J102" s="39">
        <v>50</v>
      </c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1:20" ht="15.75">
      <c r="A103" s="13">
        <v>44256</v>
      </c>
      <c r="B103" s="48">
        <v>31</v>
      </c>
      <c r="C103" s="39">
        <v>122.58</v>
      </c>
      <c r="D103" s="39">
        <v>297.94099999999997</v>
      </c>
      <c r="E103" s="45">
        <v>729.47900000000004</v>
      </c>
      <c r="F103" s="39">
        <v>1150</v>
      </c>
      <c r="G103" s="39">
        <v>100</v>
      </c>
      <c r="H103" s="47">
        <v>600</v>
      </c>
      <c r="I103" s="39">
        <v>695</v>
      </c>
      <c r="J103" s="39">
        <v>50</v>
      </c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pans="1:20" ht="15.75">
      <c r="A104" s="13">
        <v>44287</v>
      </c>
      <c r="B104" s="48">
        <v>30</v>
      </c>
      <c r="C104" s="39">
        <v>141.29300000000001</v>
      </c>
      <c r="D104" s="39">
        <v>267.99299999999999</v>
      </c>
      <c r="E104" s="45">
        <v>829.71400000000006</v>
      </c>
      <c r="F104" s="39">
        <v>1239</v>
      </c>
      <c r="G104" s="39">
        <v>100</v>
      </c>
      <c r="H104" s="47">
        <v>600</v>
      </c>
      <c r="I104" s="39">
        <v>695</v>
      </c>
      <c r="J104" s="39">
        <v>50</v>
      </c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pans="1:20" ht="15.75">
      <c r="A105" s="13">
        <v>44317</v>
      </c>
      <c r="B105" s="48">
        <v>31</v>
      </c>
      <c r="C105" s="39">
        <v>194.20500000000001</v>
      </c>
      <c r="D105" s="39">
        <v>267.46600000000001</v>
      </c>
      <c r="E105" s="45">
        <v>812.32899999999995</v>
      </c>
      <c r="F105" s="39">
        <v>1274</v>
      </c>
      <c r="G105" s="39">
        <v>75</v>
      </c>
      <c r="H105" s="47">
        <v>600</v>
      </c>
      <c r="I105" s="39">
        <v>695</v>
      </c>
      <c r="J105" s="39">
        <v>50</v>
      </c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pans="1:20" ht="15.75">
      <c r="A106" s="13">
        <v>44348</v>
      </c>
      <c r="B106" s="48">
        <v>30</v>
      </c>
      <c r="C106" s="39">
        <v>194.20500000000001</v>
      </c>
      <c r="D106" s="39">
        <v>267.46600000000001</v>
      </c>
      <c r="E106" s="45">
        <v>812.32899999999995</v>
      </c>
      <c r="F106" s="39">
        <v>1274</v>
      </c>
      <c r="G106" s="39">
        <v>50</v>
      </c>
      <c r="H106" s="47">
        <v>600</v>
      </c>
      <c r="I106" s="39">
        <v>695</v>
      </c>
      <c r="J106" s="39">
        <v>50</v>
      </c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pans="1:20" ht="15.75">
      <c r="A107" s="13">
        <v>44378</v>
      </c>
      <c r="B107" s="48">
        <v>31</v>
      </c>
      <c r="C107" s="39">
        <v>194.20500000000001</v>
      </c>
      <c r="D107" s="39">
        <v>267.46600000000001</v>
      </c>
      <c r="E107" s="45">
        <v>812.32899999999995</v>
      </c>
      <c r="F107" s="39">
        <v>1274</v>
      </c>
      <c r="G107" s="39">
        <v>50</v>
      </c>
      <c r="H107" s="47">
        <v>600</v>
      </c>
      <c r="I107" s="39">
        <v>695</v>
      </c>
      <c r="J107" s="39">
        <v>0</v>
      </c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pans="1:20" ht="15.75">
      <c r="A108" s="13">
        <v>44409</v>
      </c>
      <c r="B108" s="48">
        <v>31</v>
      </c>
      <c r="C108" s="39">
        <v>194.20500000000001</v>
      </c>
      <c r="D108" s="39">
        <v>267.46600000000001</v>
      </c>
      <c r="E108" s="45">
        <v>812.32899999999995</v>
      </c>
      <c r="F108" s="39">
        <v>1274</v>
      </c>
      <c r="G108" s="39">
        <v>50</v>
      </c>
      <c r="H108" s="47">
        <v>600</v>
      </c>
      <c r="I108" s="39">
        <v>695</v>
      </c>
      <c r="J108" s="39">
        <v>0</v>
      </c>
      <c r="K108" s="40"/>
      <c r="L108" s="40"/>
      <c r="M108" s="40"/>
      <c r="N108" s="40"/>
      <c r="O108" s="40"/>
      <c r="P108" s="40"/>
      <c r="Q108" s="40"/>
      <c r="R108" s="40"/>
      <c r="S108" s="40"/>
      <c r="T108" s="40"/>
    </row>
    <row r="109" spans="1:20" ht="15.75">
      <c r="A109" s="13">
        <v>44440</v>
      </c>
      <c r="B109" s="48">
        <v>30</v>
      </c>
      <c r="C109" s="39">
        <v>194.20500000000001</v>
      </c>
      <c r="D109" s="39">
        <v>267.46600000000001</v>
      </c>
      <c r="E109" s="45">
        <v>812.32899999999995</v>
      </c>
      <c r="F109" s="39">
        <v>1274</v>
      </c>
      <c r="G109" s="39">
        <v>50</v>
      </c>
      <c r="H109" s="47">
        <v>600</v>
      </c>
      <c r="I109" s="39">
        <v>695</v>
      </c>
      <c r="J109" s="39">
        <v>0</v>
      </c>
      <c r="K109" s="40"/>
      <c r="L109" s="40"/>
      <c r="M109" s="40"/>
      <c r="N109" s="40"/>
      <c r="O109" s="40"/>
      <c r="P109" s="40"/>
      <c r="Q109" s="40"/>
      <c r="R109" s="40"/>
      <c r="S109" s="40"/>
      <c r="T109" s="40"/>
    </row>
    <row r="110" spans="1:20" ht="15.75">
      <c r="A110" s="13">
        <v>44470</v>
      </c>
      <c r="B110" s="48">
        <v>31</v>
      </c>
      <c r="C110" s="39">
        <v>131.881</v>
      </c>
      <c r="D110" s="39">
        <v>277.16699999999997</v>
      </c>
      <c r="E110" s="45">
        <v>829.952</v>
      </c>
      <c r="F110" s="39">
        <v>1239</v>
      </c>
      <c r="G110" s="39">
        <v>75</v>
      </c>
      <c r="H110" s="47">
        <v>600</v>
      </c>
      <c r="I110" s="39">
        <v>695</v>
      </c>
      <c r="J110" s="39">
        <v>0</v>
      </c>
      <c r="K110" s="40"/>
      <c r="L110" s="40"/>
      <c r="M110" s="40"/>
      <c r="N110" s="40"/>
      <c r="O110" s="40"/>
      <c r="P110" s="40"/>
      <c r="Q110" s="40"/>
      <c r="R110" s="40"/>
      <c r="S110" s="40"/>
      <c r="T110" s="40"/>
    </row>
    <row r="111" spans="1:20" ht="15.75">
      <c r="A111" s="13">
        <v>44501</v>
      </c>
      <c r="B111" s="48">
        <v>30</v>
      </c>
      <c r="C111" s="39">
        <v>122.58</v>
      </c>
      <c r="D111" s="39">
        <v>297.94099999999997</v>
      </c>
      <c r="E111" s="45">
        <v>729.47900000000004</v>
      </c>
      <c r="F111" s="39">
        <v>1150</v>
      </c>
      <c r="G111" s="39">
        <v>100</v>
      </c>
      <c r="H111" s="47">
        <v>600</v>
      </c>
      <c r="I111" s="39">
        <v>695</v>
      </c>
      <c r="J111" s="39">
        <v>50</v>
      </c>
      <c r="K111" s="40"/>
      <c r="L111" s="40"/>
      <c r="M111" s="40"/>
      <c r="N111" s="40"/>
      <c r="O111" s="40"/>
      <c r="P111" s="40"/>
      <c r="Q111" s="40"/>
      <c r="R111" s="40"/>
      <c r="S111" s="40"/>
      <c r="T111" s="40"/>
    </row>
    <row r="112" spans="1:20" ht="15.75">
      <c r="A112" s="13">
        <v>44531</v>
      </c>
      <c r="B112" s="48">
        <v>31</v>
      </c>
      <c r="C112" s="39">
        <v>122.58</v>
      </c>
      <c r="D112" s="39">
        <v>297.94099999999997</v>
      </c>
      <c r="E112" s="45">
        <v>729.47900000000004</v>
      </c>
      <c r="F112" s="39">
        <v>1150</v>
      </c>
      <c r="G112" s="39">
        <v>100</v>
      </c>
      <c r="H112" s="47">
        <v>600</v>
      </c>
      <c r="I112" s="39">
        <v>695</v>
      </c>
      <c r="J112" s="39">
        <v>50</v>
      </c>
      <c r="K112" s="40"/>
      <c r="L112" s="40"/>
      <c r="M112" s="40"/>
      <c r="N112" s="40"/>
      <c r="O112" s="40"/>
      <c r="P112" s="40"/>
      <c r="Q112" s="40"/>
      <c r="R112" s="40"/>
      <c r="S112" s="40"/>
      <c r="T112" s="40"/>
    </row>
    <row r="113" spans="1:20" ht="15.75">
      <c r="A113" s="13">
        <v>44562</v>
      </c>
      <c r="B113" s="48">
        <v>31</v>
      </c>
      <c r="C113" s="39">
        <v>122.58</v>
      </c>
      <c r="D113" s="39">
        <v>297.94099999999997</v>
      </c>
      <c r="E113" s="45">
        <v>729.47900000000004</v>
      </c>
      <c r="F113" s="39">
        <v>1150</v>
      </c>
      <c r="G113" s="39">
        <v>100</v>
      </c>
      <c r="H113" s="47">
        <v>600</v>
      </c>
      <c r="I113" s="39">
        <v>695</v>
      </c>
      <c r="J113" s="39">
        <v>50</v>
      </c>
      <c r="K113" s="40"/>
      <c r="L113" s="40"/>
      <c r="M113" s="40"/>
      <c r="N113" s="40"/>
      <c r="O113" s="40"/>
      <c r="P113" s="40"/>
      <c r="Q113" s="40"/>
      <c r="R113" s="40"/>
      <c r="S113" s="40"/>
      <c r="T113" s="40"/>
    </row>
    <row r="114" spans="1:20" ht="15.75">
      <c r="A114" s="13">
        <v>44593</v>
      </c>
      <c r="B114" s="48">
        <v>28</v>
      </c>
      <c r="C114" s="39">
        <v>122.58</v>
      </c>
      <c r="D114" s="39">
        <v>297.94099999999997</v>
      </c>
      <c r="E114" s="45">
        <v>729.47900000000004</v>
      </c>
      <c r="F114" s="39">
        <v>1150</v>
      </c>
      <c r="G114" s="39">
        <v>100</v>
      </c>
      <c r="H114" s="47">
        <v>600</v>
      </c>
      <c r="I114" s="39">
        <v>695</v>
      </c>
      <c r="J114" s="39">
        <v>50</v>
      </c>
      <c r="K114" s="40"/>
      <c r="L114" s="40"/>
      <c r="M114" s="40"/>
      <c r="N114" s="40"/>
      <c r="O114" s="40"/>
      <c r="P114" s="40"/>
      <c r="Q114" s="40"/>
      <c r="R114" s="40"/>
      <c r="S114" s="40"/>
      <c r="T114" s="40"/>
    </row>
    <row r="115" spans="1:20" ht="15.75">
      <c r="A115" s="13">
        <v>44621</v>
      </c>
      <c r="B115" s="48">
        <v>31</v>
      </c>
      <c r="C115" s="39">
        <v>122.58</v>
      </c>
      <c r="D115" s="39">
        <v>297.94099999999997</v>
      </c>
      <c r="E115" s="45">
        <v>729.47900000000004</v>
      </c>
      <c r="F115" s="39">
        <v>1150</v>
      </c>
      <c r="G115" s="39">
        <v>100</v>
      </c>
      <c r="H115" s="47">
        <v>600</v>
      </c>
      <c r="I115" s="39">
        <v>695</v>
      </c>
      <c r="J115" s="39">
        <v>50</v>
      </c>
      <c r="K115" s="40"/>
      <c r="L115" s="40"/>
      <c r="M115" s="40"/>
      <c r="N115" s="40"/>
      <c r="O115" s="40"/>
      <c r="P115" s="40"/>
      <c r="Q115" s="40"/>
      <c r="R115" s="40"/>
      <c r="S115" s="40"/>
      <c r="T115" s="40"/>
    </row>
    <row r="116" spans="1:20" ht="15.75">
      <c r="A116" s="13">
        <v>44652</v>
      </c>
      <c r="B116" s="48">
        <v>30</v>
      </c>
      <c r="C116" s="39">
        <v>141.29300000000001</v>
      </c>
      <c r="D116" s="39">
        <v>267.99299999999999</v>
      </c>
      <c r="E116" s="45">
        <v>829.71400000000006</v>
      </c>
      <c r="F116" s="39">
        <v>1239</v>
      </c>
      <c r="G116" s="39">
        <v>100</v>
      </c>
      <c r="H116" s="47">
        <v>600</v>
      </c>
      <c r="I116" s="39">
        <v>695</v>
      </c>
      <c r="J116" s="39">
        <v>50</v>
      </c>
      <c r="K116" s="40"/>
      <c r="L116" s="40"/>
      <c r="M116" s="40"/>
      <c r="N116" s="40"/>
      <c r="O116" s="40"/>
      <c r="P116" s="40"/>
      <c r="Q116" s="40"/>
      <c r="R116" s="40"/>
      <c r="S116" s="40"/>
      <c r="T116" s="40"/>
    </row>
    <row r="117" spans="1:20" ht="15.75">
      <c r="A117" s="13">
        <v>44682</v>
      </c>
      <c r="B117" s="48">
        <v>31</v>
      </c>
      <c r="C117" s="39">
        <v>194.20500000000001</v>
      </c>
      <c r="D117" s="39">
        <v>267.46600000000001</v>
      </c>
      <c r="E117" s="45">
        <v>812.32899999999995</v>
      </c>
      <c r="F117" s="39">
        <v>1274</v>
      </c>
      <c r="G117" s="39">
        <v>75</v>
      </c>
      <c r="H117" s="47">
        <v>600</v>
      </c>
      <c r="I117" s="39">
        <v>695</v>
      </c>
      <c r="J117" s="39">
        <v>50</v>
      </c>
      <c r="K117" s="40"/>
      <c r="L117" s="40"/>
      <c r="M117" s="40"/>
      <c r="N117" s="40"/>
      <c r="O117" s="40"/>
      <c r="P117" s="40"/>
      <c r="Q117" s="40"/>
      <c r="R117" s="40"/>
      <c r="S117" s="40"/>
      <c r="T117" s="40"/>
    </row>
    <row r="118" spans="1:20" ht="15.75">
      <c r="A118" s="13">
        <v>44713</v>
      </c>
      <c r="B118" s="48">
        <v>30</v>
      </c>
      <c r="C118" s="39">
        <v>194.20500000000001</v>
      </c>
      <c r="D118" s="39">
        <v>267.46600000000001</v>
      </c>
      <c r="E118" s="45">
        <v>812.32899999999995</v>
      </c>
      <c r="F118" s="39">
        <v>1274</v>
      </c>
      <c r="G118" s="39">
        <v>50</v>
      </c>
      <c r="H118" s="47">
        <v>600</v>
      </c>
      <c r="I118" s="39">
        <v>695</v>
      </c>
      <c r="J118" s="39">
        <v>50</v>
      </c>
      <c r="K118" s="40"/>
      <c r="L118" s="40"/>
      <c r="M118" s="40"/>
      <c r="N118" s="40"/>
      <c r="O118" s="40"/>
      <c r="P118" s="40"/>
      <c r="Q118" s="40"/>
      <c r="R118" s="40"/>
      <c r="S118" s="40"/>
      <c r="T118" s="40"/>
    </row>
    <row r="119" spans="1:20" ht="15.75">
      <c r="A119" s="13">
        <v>44743</v>
      </c>
      <c r="B119" s="48">
        <v>31</v>
      </c>
      <c r="C119" s="39">
        <v>194.20500000000001</v>
      </c>
      <c r="D119" s="39">
        <v>267.46600000000001</v>
      </c>
      <c r="E119" s="45">
        <v>812.32899999999995</v>
      </c>
      <c r="F119" s="39">
        <v>1274</v>
      </c>
      <c r="G119" s="39">
        <v>50</v>
      </c>
      <c r="H119" s="47">
        <v>600</v>
      </c>
      <c r="I119" s="39">
        <v>695</v>
      </c>
      <c r="J119" s="39">
        <v>0</v>
      </c>
      <c r="K119" s="40"/>
      <c r="L119" s="40"/>
      <c r="M119" s="40"/>
      <c r="N119" s="40"/>
      <c r="O119" s="40"/>
      <c r="P119" s="40"/>
      <c r="Q119" s="40"/>
      <c r="R119" s="40"/>
      <c r="S119" s="40"/>
      <c r="T119" s="40"/>
    </row>
    <row r="120" spans="1:20" ht="15.75">
      <c r="A120" s="13">
        <v>44774</v>
      </c>
      <c r="B120" s="48">
        <v>31</v>
      </c>
      <c r="C120" s="39">
        <v>194.20500000000001</v>
      </c>
      <c r="D120" s="39">
        <v>267.46600000000001</v>
      </c>
      <c r="E120" s="45">
        <v>812.32899999999995</v>
      </c>
      <c r="F120" s="39">
        <v>1274</v>
      </c>
      <c r="G120" s="39">
        <v>50</v>
      </c>
      <c r="H120" s="47">
        <v>600</v>
      </c>
      <c r="I120" s="39">
        <v>695</v>
      </c>
      <c r="J120" s="39">
        <v>0</v>
      </c>
      <c r="K120" s="40"/>
      <c r="L120" s="40"/>
      <c r="M120" s="40"/>
      <c r="N120" s="40"/>
      <c r="O120" s="40"/>
      <c r="P120" s="40"/>
      <c r="Q120" s="40"/>
      <c r="R120" s="40"/>
      <c r="S120" s="40"/>
      <c r="T120" s="40"/>
    </row>
    <row r="121" spans="1:20" ht="15.75">
      <c r="A121" s="13">
        <v>44805</v>
      </c>
      <c r="B121" s="48">
        <v>30</v>
      </c>
      <c r="C121" s="39">
        <v>194.20500000000001</v>
      </c>
      <c r="D121" s="39">
        <v>267.46600000000001</v>
      </c>
      <c r="E121" s="45">
        <v>812.32899999999995</v>
      </c>
      <c r="F121" s="39">
        <v>1274</v>
      </c>
      <c r="G121" s="39">
        <v>50</v>
      </c>
      <c r="H121" s="47">
        <v>600</v>
      </c>
      <c r="I121" s="39">
        <v>695</v>
      </c>
      <c r="J121" s="39">
        <v>0</v>
      </c>
      <c r="K121" s="40"/>
      <c r="L121" s="40"/>
      <c r="M121" s="40"/>
      <c r="N121" s="40"/>
      <c r="O121" s="40"/>
      <c r="P121" s="40"/>
      <c r="Q121" s="40"/>
      <c r="R121" s="40"/>
      <c r="S121" s="40"/>
      <c r="T121" s="40"/>
    </row>
    <row r="122" spans="1:20" ht="15.75">
      <c r="A122" s="13">
        <v>44835</v>
      </c>
      <c r="B122" s="48">
        <v>31</v>
      </c>
      <c r="C122" s="39">
        <v>131.881</v>
      </c>
      <c r="D122" s="39">
        <v>277.16699999999997</v>
      </c>
      <c r="E122" s="45">
        <v>829.952</v>
      </c>
      <c r="F122" s="39">
        <v>1239</v>
      </c>
      <c r="G122" s="39">
        <v>75</v>
      </c>
      <c r="H122" s="47">
        <v>600</v>
      </c>
      <c r="I122" s="39">
        <v>695</v>
      </c>
      <c r="J122" s="39">
        <v>0</v>
      </c>
      <c r="K122" s="40"/>
      <c r="L122" s="40"/>
      <c r="M122" s="40"/>
      <c r="N122" s="40"/>
      <c r="O122" s="40"/>
      <c r="P122" s="40"/>
      <c r="Q122" s="40"/>
      <c r="R122" s="40"/>
      <c r="S122" s="40"/>
      <c r="T122" s="40"/>
    </row>
    <row r="123" spans="1:20" ht="15.75">
      <c r="A123" s="13">
        <v>44866</v>
      </c>
      <c r="B123" s="48">
        <v>30</v>
      </c>
      <c r="C123" s="39">
        <v>122.58</v>
      </c>
      <c r="D123" s="39">
        <v>297.94099999999997</v>
      </c>
      <c r="E123" s="45">
        <v>729.47900000000004</v>
      </c>
      <c r="F123" s="39">
        <v>1150</v>
      </c>
      <c r="G123" s="39">
        <v>100</v>
      </c>
      <c r="H123" s="47">
        <v>600</v>
      </c>
      <c r="I123" s="39">
        <v>695</v>
      </c>
      <c r="J123" s="39">
        <v>50</v>
      </c>
      <c r="K123" s="40"/>
      <c r="L123" s="40"/>
      <c r="M123" s="40"/>
      <c r="N123" s="40"/>
      <c r="O123" s="40"/>
      <c r="P123" s="40"/>
      <c r="Q123" s="40"/>
      <c r="R123" s="40"/>
      <c r="S123" s="40"/>
      <c r="T123" s="40"/>
    </row>
    <row r="124" spans="1:20" ht="15.75">
      <c r="A124" s="13">
        <v>44896</v>
      </c>
      <c r="B124" s="48">
        <v>31</v>
      </c>
      <c r="C124" s="39">
        <v>122.58</v>
      </c>
      <c r="D124" s="39">
        <v>297.94099999999997</v>
      </c>
      <c r="E124" s="45">
        <v>729.47900000000004</v>
      </c>
      <c r="F124" s="39">
        <v>1150</v>
      </c>
      <c r="G124" s="39">
        <v>100</v>
      </c>
      <c r="H124" s="47">
        <v>600</v>
      </c>
      <c r="I124" s="39">
        <v>695</v>
      </c>
      <c r="J124" s="39">
        <v>50</v>
      </c>
      <c r="K124" s="40"/>
      <c r="L124" s="40"/>
      <c r="M124" s="40"/>
      <c r="N124" s="40"/>
      <c r="O124" s="40"/>
      <c r="P124" s="40"/>
      <c r="Q124" s="40"/>
      <c r="R124" s="40"/>
      <c r="S124" s="40"/>
      <c r="T124" s="40"/>
    </row>
    <row r="125" spans="1:20" ht="15.75">
      <c r="A125" s="13">
        <v>44927</v>
      </c>
      <c r="B125" s="48">
        <v>31</v>
      </c>
      <c r="C125" s="39">
        <v>122.58</v>
      </c>
      <c r="D125" s="39">
        <v>297.94099999999997</v>
      </c>
      <c r="E125" s="45">
        <v>729.47900000000004</v>
      </c>
      <c r="F125" s="39">
        <v>1150</v>
      </c>
      <c r="G125" s="39">
        <v>100</v>
      </c>
      <c r="H125" s="47">
        <v>600</v>
      </c>
      <c r="I125" s="39">
        <v>695</v>
      </c>
      <c r="J125" s="39">
        <v>50</v>
      </c>
      <c r="K125" s="40"/>
      <c r="L125" s="40"/>
      <c r="M125" s="40"/>
      <c r="N125" s="40"/>
      <c r="O125" s="40"/>
      <c r="P125" s="40"/>
      <c r="Q125" s="40"/>
      <c r="R125" s="40"/>
      <c r="S125" s="40"/>
      <c r="T125" s="40"/>
    </row>
    <row r="126" spans="1:20" ht="15.75">
      <c r="A126" s="13">
        <v>44958</v>
      </c>
      <c r="B126" s="48">
        <v>28</v>
      </c>
      <c r="C126" s="39">
        <v>122.58</v>
      </c>
      <c r="D126" s="39">
        <v>297.94099999999997</v>
      </c>
      <c r="E126" s="45">
        <v>729.47900000000004</v>
      </c>
      <c r="F126" s="39">
        <v>1150</v>
      </c>
      <c r="G126" s="39">
        <v>100</v>
      </c>
      <c r="H126" s="47">
        <v>600</v>
      </c>
      <c r="I126" s="39">
        <v>695</v>
      </c>
      <c r="J126" s="39">
        <v>50</v>
      </c>
      <c r="K126" s="40"/>
      <c r="L126" s="40"/>
      <c r="M126" s="40"/>
      <c r="N126" s="40"/>
      <c r="O126" s="40"/>
      <c r="P126" s="40"/>
      <c r="Q126" s="40"/>
      <c r="R126" s="40"/>
      <c r="S126" s="40"/>
      <c r="T126" s="40"/>
    </row>
    <row r="127" spans="1:20" ht="15.75">
      <c r="A127" s="13">
        <v>44986</v>
      </c>
      <c r="B127" s="48">
        <v>31</v>
      </c>
      <c r="C127" s="39">
        <v>122.58</v>
      </c>
      <c r="D127" s="39">
        <v>297.94099999999997</v>
      </c>
      <c r="E127" s="45">
        <v>729.47900000000004</v>
      </c>
      <c r="F127" s="39">
        <v>1150</v>
      </c>
      <c r="G127" s="39">
        <v>100</v>
      </c>
      <c r="H127" s="47">
        <v>600</v>
      </c>
      <c r="I127" s="39">
        <v>695</v>
      </c>
      <c r="J127" s="39">
        <v>50</v>
      </c>
      <c r="K127" s="40"/>
      <c r="L127" s="40"/>
      <c r="M127" s="40"/>
      <c r="N127" s="40"/>
      <c r="O127" s="40"/>
      <c r="P127" s="40"/>
      <c r="Q127" s="40"/>
      <c r="R127" s="40"/>
      <c r="S127" s="40"/>
      <c r="T127" s="40"/>
    </row>
    <row r="128" spans="1:20" ht="15.75">
      <c r="A128" s="13">
        <v>45017</v>
      </c>
      <c r="B128" s="48">
        <v>30</v>
      </c>
      <c r="C128" s="39">
        <v>141.29300000000001</v>
      </c>
      <c r="D128" s="39">
        <v>267.99299999999999</v>
      </c>
      <c r="E128" s="45">
        <v>829.71400000000006</v>
      </c>
      <c r="F128" s="39">
        <v>1239</v>
      </c>
      <c r="G128" s="39">
        <v>100</v>
      </c>
      <c r="H128" s="47">
        <v>600</v>
      </c>
      <c r="I128" s="39">
        <v>695</v>
      </c>
      <c r="J128" s="39">
        <v>50</v>
      </c>
      <c r="K128" s="40"/>
      <c r="L128" s="40"/>
      <c r="M128" s="40"/>
      <c r="N128" s="40"/>
      <c r="O128" s="40"/>
      <c r="P128" s="40"/>
      <c r="Q128" s="40"/>
      <c r="R128" s="40"/>
      <c r="S128" s="40"/>
      <c r="T128" s="40"/>
    </row>
    <row r="129" spans="1:20" ht="15.75">
      <c r="A129" s="13">
        <v>45047</v>
      </c>
      <c r="B129" s="48">
        <v>31</v>
      </c>
      <c r="C129" s="39">
        <v>194.20500000000001</v>
      </c>
      <c r="D129" s="39">
        <v>267.46600000000001</v>
      </c>
      <c r="E129" s="45">
        <v>812.32899999999995</v>
      </c>
      <c r="F129" s="39">
        <v>1274</v>
      </c>
      <c r="G129" s="39">
        <v>75</v>
      </c>
      <c r="H129" s="47">
        <v>600</v>
      </c>
      <c r="I129" s="39">
        <v>695</v>
      </c>
      <c r="J129" s="39">
        <v>50</v>
      </c>
      <c r="K129" s="40"/>
      <c r="L129" s="40"/>
      <c r="M129" s="40"/>
      <c r="N129" s="40"/>
      <c r="O129" s="40"/>
      <c r="P129" s="40"/>
      <c r="Q129" s="40"/>
      <c r="R129" s="40"/>
      <c r="S129" s="40"/>
      <c r="T129" s="40"/>
    </row>
    <row r="130" spans="1:20" ht="15.75">
      <c r="A130" s="13">
        <v>45078</v>
      </c>
      <c r="B130" s="48">
        <v>30</v>
      </c>
      <c r="C130" s="39">
        <v>194.20500000000001</v>
      </c>
      <c r="D130" s="39">
        <v>267.46600000000001</v>
      </c>
      <c r="E130" s="45">
        <v>812.32899999999995</v>
      </c>
      <c r="F130" s="39">
        <v>1274</v>
      </c>
      <c r="G130" s="39">
        <v>50</v>
      </c>
      <c r="H130" s="47">
        <v>600</v>
      </c>
      <c r="I130" s="39">
        <v>695</v>
      </c>
      <c r="J130" s="39">
        <v>50</v>
      </c>
      <c r="K130" s="40"/>
      <c r="L130" s="40"/>
      <c r="M130" s="40"/>
      <c r="N130" s="40"/>
      <c r="O130" s="40"/>
      <c r="P130" s="40"/>
      <c r="Q130" s="40"/>
      <c r="R130" s="40"/>
      <c r="S130" s="40"/>
      <c r="T130" s="40"/>
    </row>
    <row r="131" spans="1:20" ht="15.75">
      <c r="A131" s="13">
        <v>45108</v>
      </c>
      <c r="B131" s="48">
        <v>31</v>
      </c>
      <c r="C131" s="39">
        <v>194.20500000000001</v>
      </c>
      <c r="D131" s="39">
        <v>267.46600000000001</v>
      </c>
      <c r="E131" s="45">
        <v>812.32899999999995</v>
      </c>
      <c r="F131" s="39">
        <v>1274</v>
      </c>
      <c r="G131" s="39">
        <v>50</v>
      </c>
      <c r="H131" s="47">
        <v>600</v>
      </c>
      <c r="I131" s="39">
        <v>695</v>
      </c>
      <c r="J131" s="39">
        <v>0</v>
      </c>
      <c r="K131" s="40"/>
      <c r="L131" s="40"/>
      <c r="M131" s="40"/>
      <c r="N131" s="40"/>
      <c r="O131" s="40"/>
      <c r="P131" s="40"/>
      <c r="Q131" s="40"/>
      <c r="R131" s="40"/>
      <c r="S131" s="40"/>
      <c r="T131" s="40"/>
    </row>
    <row r="132" spans="1:20" ht="15.75">
      <c r="A132" s="13">
        <v>45139</v>
      </c>
      <c r="B132" s="48">
        <v>31</v>
      </c>
      <c r="C132" s="39">
        <v>194.20500000000001</v>
      </c>
      <c r="D132" s="39">
        <v>267.46600000000001</v>
      </c>
      <c r="E132" s="45">
        <v>812.32899999999995</v>
      </c>
      <c r="F132" s="39">
        <v>1274</v>
      </c>
      <c r="G132" s="39">
        <v>50</v>
      </c>
      <c r="H132" s="47">
        <v>600</v>
      </c>
      <c r="I132" s="39">
        <v>695</v>
      </c>
      <c r="J132" s="39">
        <v>0</v>
      </c>
      <c r="K132" s="40"/>
      <c r="L132" s="40"/>
      <c r="M132" s="40"/>
      <c r="N132" s="40"/>
      <c r="O132" s="40"/>
      <c r="P132" s="40"/>
      <c r="Q132" s="40"/>
      <c r="R132" s="40"/>
      <c r="S132" s="40"/>
      <c r="T132" s="40"/>
    </row>
    <row r="133" spans="1:20" ht="15.75">
      <c r="A133" s="13">
        <v>45170</v>
      </c>
      <c r="B133" s="48">
        <v>30</v>
      </c>
      <c r="C133" s="39">
        <v>194.20500000000001</v>
      </c>
      <c r="D133" s="39">
        <v>267.46600000000001</v>
      </c>
      <c r="E133" s="45">
        <v>812.32899999999995</v>
      </c>
      <c r="F133" s="39">
        <v>1274</v>
      </c>
      <c r="G133" s="39">
        <v>50</v>
      </c>
      <c r="H133" s="47">
        <v>600</v>
      </c>
      <c r="I133" s="39">
        <v>695</v>
      </c>
      <c r="J133" s="39">
        <v>0</v>
      </c>
      <c r="K133" s="40"/>
      <c r="L133" s="40"/>
      <c r="M133" s="40"/>
      <c r="N133" s="40"/>
      <c r="O133" s="40"/>
      <c r="P133" s="40"/>
      <c r="Q133" s="40"/>
      <c r="R133" s="40"/>
      <c r="S133" s="40"/>
      <c r="T133" s="40"/>
    </row>
    <row r="134" spans="1:20" ht="15.75">
      <c r="A134" s="13">
        <v>45200</v>
      </c>
      <c r="B134" s="48">
        <v>31</v>
      </c>
      <c r="C134" s="39">
        <v>131.881</v>
      </c>
      <c r="D134" s="39">
        <v>277.16699999999997</v>
      </c>
      <c r="E134" s="45">
        <v>829.952</v>
      </c>
      <c r="F134" s="39">
        <v>1239</v>
      </c>
      <c r="G134" s="39">
        <v>75</v>
      </c>
      <c r="H134" s="47">
        <v>600</v>
      </c>
      <c r="I134" s="39">
        <v>695</v>
      </c>
      <c r="J134" s="39">
        <v>0</v>
      </c>
      <c r="K134" s="40"/>
      <c r="L134" s="40"/>
      <c r="M134" s="40"/>
      <c r="N134" s="40"/>
      <c r="O134" s="40"/>
      <c r="P134" s="40"/>
      <c r="Q134" s="40"/>
      <c r="R134" s="40"/>
      <c r="S134" s="40"/>
      <c r="T134" s="40"/>
    </row>
    <row r="135" spans="1:20" ht="15.75">
      <c r="A135" s="13">
        <v>45231</v>
      </c>
      <c r="B135" s="48">
        <v>30</v>
      </c>
      <c r="C135" s="39">
        <v>122.58</v>
      </c>
      <c r="D135" s="39">
        <v>297.94099999999997</v>
      </c>
      <c r="E135" s="45">
        <v>729.47900000000004</v>
      </c>
      <c r="F135" s="39">
        <v>1150</v>
      </c>
      <c r="G135" s="39">
        <v>100</v>
      </c>
      <c r="H135" s="47">
        <v>600</v>
      </c>
      <c r="I135" s="39">
        <v>695</v>
      </c>
      <c r="J135" s="39">
        <v>50</v>
      </c>
      <c r="K135" s="40"/>
      <c r="L135" s="40"/>
      <c r="M135" s="40"/>
      <c r="N135" s="40"/>
      <c r="O135" s="40"/>
      <c r="P135" s="40"/>
      <c r="Q135" s="40"/>
      <c r="R135" s="40"/>
      <c r="S135" s="40"/>
      <c r="T135" s="40"/>
    </row>
    <row r="136" spans="1:20" ht="15.75">
      <c r="A136" s="13">
        <v>45261</v>
      </c>
      <c r="B136" s="48">
        <v>31</v>
      </c>
      <c r="C136" s="39">
        <v>122.58</v>
      </c>
      <c r="D136" s="39">
        <v>297.94099999999997</v>
      </c>
      <c r="E136" s="45">
        <v>729.47900000000004</v>
      </c>
      <c r="F136" s="39">
        <v>1150</v>
      </c>
      <c r="G136" s="39">
        <v>100</v>
      </c>
      <c r="H136" s="47">
        <v>600</v>
      </c>
      <c r="I136" s="39">
        <v>695</v>
      </c>
      <c r="J136" s="39">
        <v>50</v>
      </c>
      <c r="K136" s="40"/>
      <c r="L136" s="40"/>
      <c r="M136" s="40"/>
      <c r="N136" s="40"/>
      <c r="O136" s="40"/>
      <c r="P136" s="40"/>
      <c r="Q136" s="40"/>
      <c r="R136" s="40"/>
      <c r="S136" s="40"/>
      <c r="T136" s="40"/>
    </row>
    <row r="137" spans="1:20" ht="15.75">
      <c r="A137" s="13">
        <v>45292</v>
      </c>
      <c r="B137" s="48">
        <v>31</v>
      </c>
      <c r="C137" s="39">
        <v>122.58</v>
      </c>
      <c r="D137" s="39">
        <v>297.94099999999997</v>
      </c>
      <c r="E137" s="45">
        <v>729.47900000000004</v>
      </c>
      <c r="F137" s="39">
        <v>1150</v>
      </c>
      <c r="G137" s="39">
        <v>100</v>
      </c>
      <c r="H137" s="47">
        <v>600</v>
      </c>
      <c r="I137" s="39">
        <v>695</v>
      </c>
      <c r="J137" s="39">
        <v>50</v>
      </c>
      <c r="K137" s="40"/>
      <c r="L137" s="40"/>
      <c r="M137" s="40"/>
      <c r="N137" s="40"/>
      <c r="O137" s="40"/>
      <c r="P137" s="40"/>
      <c r="Q137" s="40"/>
      <c r="R137" s="40"/>
      <c r="S137" s="40"/>
      <c r="T137" s="40"/>
    </row>
    <row r="138" spans="1:20" ht="15.75">
      <c r="A138" s="13">
        <v>45323</v>
      </c>
      <c r="B138" s="48">
        <v>29</v>
      </c>
      <c r="C138" s="39">
        <v>122.58</v>
      </c>
      <c r="D138" s="39">
        <v>297.94099999999997</v>
      </c>
      <c r="E138" s="45">
        <v>729.47900000000004</v>
      </c>
      <c r="F138" s="39">
        <v>1150</v>
      </c>
      <c r="G138" s="39">
        <v>100</v>
      </c>
      <c r="H138" s="47">
        <v>600</v>
      </c>
      <c r="I138" s="39">
        <v>695</v>
      </c>
      <c r="J138" s="39">
        <v>50</v>
      </c>
      <c r="K138" s="40"/>
      <c r="L138" s="40"/>
      <c r="M138" s="40"/>
      <c r="N138" s="40"/>
      <c r="O138" s="40"/>
      <c r="P138" s="40"/>
      <c r="Q138" s="40"/>
      <c r="R138" s="40"/>
      <c r="S138" s="40"/>
      <c r="T138" s="40"/>
    </row>
    <row r="139" spans="1:20" ht="15.75">
      <c r="A139" s="13">
        <v>45352</v>
      </c>
      <c r="B139" s="48">
        <v>31</v>
      </c>
      <c r="C139" s="39">
        <v>122.58</v>
      </c>
      <c r="D139" s="39">
        <v>297.94099999999997</v>
      </c>
      <c r="E139" s="45">
        <v>729.47900000000004</v>
      </c>
      <c r="F139" s="39">
        <v>1150</v>
      </c>
      <c r="G139" s="39">
        <v>100</v>
      </c>
      <c r="H139" s="47">
        <v>600</v>
      </c>
      <c r="I139" s="39">
        <v>695</v>
      </c>
      <c r="J139" s="39">
        <v>50</v>
      </c>
      <c r="K139" s="40"/>
      <c r="L139" s="40"/>
      <c r="M139" s="40"/>
      <c r="N139" s="40"/>
      <c r="O139" s="40"/>
      <c r="P139" s="40"/>
      <c r="Q139" s="40"/>
      <c r="R139" s="40"/>
      <c r="S139" s="40"/>
      <c r="T139" s="40"/>
    </row>
    <row r="140" spans="1:20" ht="15.75">
      <c r="A140" s="13">
        <v>45383</v>
      </c>
      <c r="B140" s="48">
        <v>30</v>
      </c>
      <c r="C140" s="39">
        <v>141.29300000000001</v>
      </c>
      <c r="D140" s="39">
        <v>267.99299999999999</v>
      </c>
      <c r="E140" s="45">
        <v>829.71400000000006</v>
      </c>
      <c r="F140" s="39">
        <v>1239</v>
      </c>
      <c r="G140" s="39">
        <v>100</v>
      </c>
      <c r="H140" s="47">
        <v>600</v>
      </c>
      <c r="I140" s="39">
        <v>695</v>
      </c>
      <c r="J140" s="39">
        <v>50</v>
      </c>
      <c r="K140" s="40"/>
      <c r="L140" s="40"/>
      <c r="M140" s="40"/>
      <c r="N140" s="40"/>
      <c r="O140" s="40"/>
      <c r="P140" s="40"/>
      <c r="Q140" s="40"/>
      <c r="R140" s="40"/>
      <c r="S140" s="40"/>
      <c r="T140" s="40"/>
    </row>
    <row r="141" spans="1:20" ht="15.75">
      <c r="A141" s="13">
        <v>45413</v>
      </c>
      <c r="B141" s="48">
        <v>31</v>
      </c>
      <c r="C141" s="39">
        <v>194.20500000000001</v>
      </c>
      <c r="D141" s="39">
        <v>267.46600000000001</v>
      </c>
      <c r="E141" s="45">
        <v>812.32899999999995</v>
      </c>
      <c r="F141" s="39">
        <v>1274</v>
      </c>
      <c r="G141" s="39">
        <v>75</v>
      </c>
      <c r="H141" s="47">
        <v>600</v>
      </c>
      <c r="I141" s="39">
        <v>695</v>
      </c>
      <c r="J141" s="39">
        <v>50</v>
      </c>
      <c r="K141" s="40"/>
      <c r="L141" s="40"/>
      <c r="M141" s="40"/>
      <c r="N141" s="40"/>
      <c r="O141" s="40"/>
      <c r="P141" s="40"/>
      <c r="Q141" s="40"/>
      <c r="R141" s="40"/>
      <c r="S141" s="40"/>
      <c r="T141" s="40"/>
    </row>
    <row r="142" spans="1:20" ht="15.75">
      <c r="A142" s="13">
        <v>45444</v>
      </c>
      <c r="B142" s="48">
        <v>30</v>
      </c>
      <c r="C142" s="39">
        <v>194.20500000000001</v>
      </c>
      <c r="D142" s="39">
        <v>267.46600000000001</v>
      </c>
      <c r="E142" s="45">
        <v>812.32899999999995</v>
      </c>
      <c r="F142" s="39">
        <v>1274</v>
      </c>
      <c r="G142" s="39">
        <v>50</v>
      </c>
      <c r="H142" s="47">
        <v>600</v>
      </c>
      <c r="I142" s="39">
        <v>695</v>
      </c>
      <c r="J142" s="39">
        <v>50</v>
      </c>
      <c r="K142" s="40"/>
      <c r="L142" s="40"/>
      <c r="M142" s="40"/>
      <c r="N142" s="40"/>
      <c r="O142" s="40"/>
      <c r="P142" s="40"/>
      <c r="Q142" s="40"/>
      <c r="R142" s="40"/>
      <c r="S142" s="40"/>
      <c r="T142" s="40"/>
    </row>
    <row r="143" spans="1:20" ht="15.75">
      <c r="A143" s="13">
        <v>45474</v>
      </c>
      <c r="B143" s="48">
        <v>31</v>
      </c>
      <c r="C143" s="39">
        <v>194.20500000000001</v>
      </c>
      <c r="D143" s="39">
        <v>267.46600000000001</v>
      </c>
      <c r="E143" s="45">
        <v>812.32899999999995</v>
      </c>
      <c r="F143" s="39">
        <v>1274</v>
      </c>
      <c r="G143" s="39">
        <v>50</v>
      </c>
      <c r="H143" s="47">
        <v>600</v>
      </c>
      <c r="I143" s="39">
        <v>695</v>
      </c>
      <c r="J143" s="39">
        <v>0</v>
      </c>
      <c r="K143" s="40"/>
      <c r="L143" s="40"/>
      <c r="M143" s="40"/>
      <c r="N143" s="40"/>
      <c r="O143" s="40"/>
      <c r="P143" s="40"/>
      <c r="Q143" s="40"/>
      <c r="R143" s="40"/>
      <c r="S143" s="40"/>
      <c r="T143" s="40"/>
    </row>
    <row r="144" spans="1:20" ht="15.75">
      <c r="A144" s="13">
        <v>45505</v>
      </c>
      <c r="B144" s="48">
        <v>31</v>
      </c>
      <c r="C144" s="39">
        <v>194.20500000000001</v>
      </c>
      <c r="D144" s="39">
        <v>267.46600000000001</v>
      </c>
      <c r="E144" s="45">
        <v>812.32899999999995</v>
      </c>
      <c r="F144" s="39">
        <v>1274</v>
      </c>
      <c r="G144" s="39">
        <v>50</v>
      </c>
      <c r="H144" s="47">
        <v>600</v>
      </c>
      <c r="I144" s="39">
        <v>695</v>
      </c>
      <c r="J144" s="39">
        <v>0</v>
      </c>
      <c r="K144" s="40"/>
      <c r="L144" s="40"/>
      <c r="M144" s="40"/>
      <c r="N144" s="40"/>
      <c r="O144" s="40"/>
      <c r="P144" s="40"/>
      <c r="Q144" s="40"/>
      <c r="R144" s="40"/>
      <c r="S144" s="40"/>
      <c r="T144" s="40"/>
    </row>
    <row r="145" spans="1:20" ht="15.75">
      <c r="A145" s="13">
        <v>45536</v>
      </c>
      <c r="B145" s="48">
        <v>30</v>
      </c>
      <c r="C145" s="39">
        <v>194.20500000000001</v>
      </c>
      <c r="D145" s="39">
        <v>267.46600000000001</v>
      </c>
      <c r="E145" s="45">
        <v>812.32899999999995</v>
      </c>
      <c r="F145" s="39">
        <v>1274</v>
      </c>
      <c r="G145" s="39">
        <v>50</v>
      </c>
      <c r="H145" s="47">
        <v>600</v>
      </c>
      <c r="I145" s="39">
        <v>695</v>
      </c>
      <c r="J145" s="39">
        <v>0</v>
      </c>
      <c r="K145" s="40"/>
      <c r="L145" s="40"/>
      <c r="M145" s="40"/>
      <c r="N145" s="40"/>
      <c r="O145" s="40"/>
      <c r="P145" s="40"/>
      <c r="Q145" s="40"/>
      <c r="R145" s="40"/>
      <c r="S145" s="40"/>
      <c r="T145" s="40"/>
    </row>
    <row r="146" spans="1:20" ht="15.75">
      <c r="A146" s="13">
        <v>45566</v>
      </c>
      <c r="B146" s="48">
        <v>31</v>
      </c>
      <c r="C146" s="39">
        <v>131.881</v>
      </c>
      <c r="D146" s="39">
        <v>277.16699999999997</v>
      </c>
      <c r="E146" s="45">
        <v>829.952</v>
      </c>
      <c r="F146" s="39">
        <v>1239</v>
      </c>
      <c r="G146" s="39">
        <v>75</v>
      </c>
      <c r="H146" s="47">
        <v>600</v>
      </c>
      <c r="I146" s="39">
        <v>695</v>
      </c>
      <c r="J146" s="39">
        <v>0</v>
      </c>
      <c r="K146" s="40"/>
      <c r="L146" s="40"/>
      <c r="M146" s="40"/>
      <c r="N146" s="40"/>
      <c r="O146" s="40"/>
      <c r="P146" s="40"/>
      <c r="Q146" s="40"/>
      <c r="R146" s="40"/>
      <c r="S146" s="40"/>
      <c r="T146" s="40"/>
    </row>
    <row r="147" spans="1:20" ht="15.75">
      <c r="A147" s="13">
        <v>45597</v>
      </c>
      <c r="B147" s="48">
        <v>30</v>
      </c>
      <c r="C147" s="39">
        <v>122.58</v>
      </c>
      <c r="D147" s="39">
        <v>297.94099999999997</v>
      </c>
      <c r="E147" s="45">
        <v>729.47900000000004</v>
      </c>
      <c r="F147" s="39">
        <v>1150</v>
      </c>
      <c r="G147" s="39">
        <v>100</v>
      </c>
      <c r="H147" s="47">
        <v>600</v>
      </c>
      <c r="I147" s="39">
        <v>695</v>
      </c>
      <c r="J147" s="39">
        <v>50</v>
      </c>
      <c r="K147" s="40"/>
      <c r="L147" s="40"/>
      <c r="M147" s="40"/>
      <c r="N147" s="40"/>
      <c r="O147" s="40"/>
      <c r="P147" s="40"/>
      <c r="Q147" s="40"/>
      <c r="R147" s="40"/>
      <c r="S147" s="40"/>
      <c r="T147" s="40"/>
    </row>
    <row r="148" spans="1:20" ht="15.75">
      <c r="A148" s="13">
        <v>45627</v>
      </c>
      <c r="B148" s="48">
        <v>31</v>
      </c>
      <c r="C148" s="39">
        <v>122.58</v>
      </c>
      <c r="D148" s="39">
        <v>297.94099999999997</v>
      </c>
      <c r="E148" s="45">
        <v>729.47900000000004</v>
      </c>
      <c r="F148" s="39">
        <v>1150</v>
      </c>
      <c r="G148" s="39">
        <v>100</v>
      </c>
      <c r="H148" s="47">
        <v>600</v>
      </c>
      <c r="I148" s="39">
        <v>695</v>
      </c>
      <c r="J148" s="39">
        <v>50</v>
      </c>
      <c r="K148" s="40"/>
      <c r="L148" s="40"/>
      <c r="M148" s="40"/>
      <c r="N148" s="40"/>
      <c r="O148" s="40"/>
      <c r="P148" s="40"/>
      <c r="Q148" s="40"/>
      <c r="R148" s="40"/>
      <c r="S148" s="40"/>
      <c r="T148" s="40"/>
    </row>
    <row r="149" spans="1:20" ht="15.75">
      <c r="A149" s="13">
        <v>45658</v>
      </c>
      <c r="B149" s="48">
        <v>31</v>
      </c>
      <c r="C149" s="39">
        <v>122.58</v>
      </c>
      <c r="D149" s="39">
        <v>297.94099999999997</v>
      </c>
      <c r="E149" s="45">
        <v>729.47900000000004</v>
      </c>
      <c r="F149" s="39">
        <v>1150</v>
      </c>
      <c r="G149" s="39">
        <v>100</v>
      </c>
      <c r="H149" s="47">
        <v>600</v>
      </c>
      <c r="I149" s="39">
        <v>695</v>
      </c>
      <c r="J149" s="39">
        <v>50</v>
      </c>
      <c r="K149" s="40"/>
      <c r="L149" s="40"/>
      <c r="M149" s="40"/>
      <c r="N149" s="40"/>
      <c r="O149" s="40"/>
      <c r="P149" s="40"/>
      <c r="Q149" s="40"/>
      <c r="R149" s="40"/>
      <c r="S149" s="40"/>
      <c r="T149" s="40"/>
    </row>
    <row r="150" spans="1:20" ht="15.75">
      <c r="A150" s="13">
        <v>45689</v>
      </c>
      <c r="B150" s="48">
        <v>28</v>
      </c>
      <c r="C150" s="39">
        <v>122.58</v>
      </c>
      <c r="D150" s="39">
        <v>297.94099999999997</v>
      </c>
      <c r="E150" s="45">
        <v>729.47900000000004</v>
      </c>
      <c r="F150" s="39">
        <v>1150</v>
      </c>
      <c r="G150" s="39">
        <v>100</v>
      </c>
      <c r="H150" s="47">
        <v>600</v>
      </c>
      <c r="I150" s="39">
        <v>695</v>
      </c>
      <c r="J150" s="39">
        <v>50</v>
      </c>
      <c r="K150" s="40"/>
      <c r="L150" s="40"/>
      <c r="M150" s="40"/>
      <c r="N150" s="40"/>
      <c r="O150" s="40"/>
      <c r="P150" s="40"/>
      <c r="Q150" s="40"/>
      <c r="R150" s="40"/>
      <c r="S150" s="40"/>
      <c r="T150" s="40"/>
    </row>
    <row r="151" spans="1:20" ht="15.75">
      <c r="A151" s="13">
        <v>45717</v>
      </c>
      <c r="B151" s="48">
        <v>31</v>
      </c>
      <c r="C151" s="39">
        <v>122.58</v>
      </c>
      <c r="D151" s="39">
        <v>297.94099999999997</v>
      </c>
      <c r="E151" s="45">
        <v>729.47900000000004</v>
      </c>
      <c r="F151" s="39">
        <v>1150</v>
      </c>
      <c r="G151" s="39">
        <v>100</v>
      </c>
      <c r="H151" s="47">
        <v>600</v>
      </c>
      <c r="I151" s="39">
        <v>695</v>
      </c>
      <c r="J151" s="39">
        <v>50</v>
      </c>
      <c r="K151" s="40"/>
      <c r="L151" s="40"/>
      <c r="M151" s="40"/>
      <c r="N151" s="40"/>
      <c r="O151" s="40"/>
      <c r="P151" s="40"/>
      <c r="Q151" s="40"/>
      <c r="R151" s="40"/>
      <c r="S151" s="40"/>
      <c r="T151" s="40"/>
    </row>
    <row r="152" spans="1:20" ht="15.75">
      <c r="A152" s="13">
        <v>45748</v>
      </c>
      <c r="B152" s="48">
        <v>30</v>
      </c>
      <c r="C152" s="39">
        <v>141.29300000000001</v>
      </c>
      <c r="D152" s="39">
        <v>267.99299999999999</v>
      </c>
      <c r="E152" s="45">
        <v>829.71400000000006</v>
      </c>
      <c r="F152" s="39">
        <v>1239</v>
      </c>
      <c r="G152" s="39">
        <v>100</v>
      </c>
      <c r="H152" s="47">
        <v>600</v>
      </c>
      <c r="I152" s="39">
        <v>695</v>
      </c>
      <c r="J152" s="39">
        <v>50</v>
      </c>
      <c r="K152" s="40"/>
      <c r="L152" s="40"/>
      <c r="M152" s="40"/>
      <c r="N152" s="40"/>
      <c r="O152" s="40"/>
      <c r="P152" s="40"/>
      <c r="Q152" s="40"/>
      <c r="R152" s="40"/>
      <c r="S152" s="40"/>
      <c r="T152" s="40"/>
    </row>
    <row r="153" spans="1:20" ht="15.75">
      <c r="A153" s="13">
        <v>45778</v>
      </c>
      <c r="B153" s="48">
        <v>31</v>
      </c>
      <c r="C153" s="39">
        <v>194.20500000000001</v>
      </c>
      <c r="D153" s="39">
        <v>267.46600000000001</v>
      </c>
      <c r="E153" s="45">
        <v>812.32899999999995</v>
      </c>
      <c r="F153" s="39">
        <v>1274</v>
      </c>
      <c r="G153" s="39">
        <v>75</v>
      </c>
      <c r="H153" s="47">
        <v>600</v>
      </c>
      <c r="I153" s="39">
        <v>695</v>
      </c>
      <c r="J153" s="39">
        <v>50</v>
      </c>
      <c r="K153" s="40"/>
      <c r="L153" s="40"/>
      <c r="M153" s="40"/>
      <c r="N153" s="40"/>
      <c r="O153" s="40"/>
      <c r="P153" s="40"/>
      <c r="Q153" s="40"/>
      <c r="R153" s="40"/>
      <c r="S153" s="40"/>
      <c r="T153" s="40"/>
    </row>
    <row r="154" spans="1:20" ht="15.75">
      <c r="A154" s="13">
        <v>45809</v>
      </c>
      <c r="B154" s="48">
        <v>30</v>
      </c>
      <c r="C154" s="39">
        <v>194.20500000000001</v>
      </c>
      <c r="D154" s="39">
        <v>267.46600000000001</v>
      </c>
      <c r="E154" s="45">
        <v>812.32899999999995</v>
      </c>
      <c r="F154" s="39">
        <v>1274</v>
      </c>
      <c r="G154" s="39">
        <v>50</v>
      </c>
      <c r="H154" s="47">
        <v>600</v>
      </c>
      <c r="I154" s="39">
        <v>695</v>
      </c>
      <c r="J154" s="39">
        <v>50</v>
      </c>
      <c r="K154" s="40"/>
      <c r="L154" s="40"/>
      <c r="M154" s="40"/>
      <c r="N154" s="40"/>
      <c r="O154" s="40"/>
      <c r="P154" s="40"/>
      <c r="Q154" s="40"/>
      <c r="R154" s="40"/>
      <c r="S154" s="40"/>
      <c r="T154" s="40"/>
    </row>
    <row r="155" spans="1:20" ht="15.75">
      <c r="A155" s="13">
        <v>45839</v>
      </c>
      <c r="B155" s="48">
        <v>31</v>
      </c>
      <c r="C155" s="39">
        <v>194.20500000000001</v>
      </c>
      <c r="D155" s="39">
        <v>267.46600000000001</v>
      </c>
      <c r="E155" s="45">
        <v>812.32899999999995</v>
      </c>
      <c r="F155" s="39">
        <v>1274</v>
      </c>
      <c r="G155" s="39">
        <v>50</v>
      </c>
      <c r="H155" s="47">
        <v>600</v>
      </c>
      <c r="I155" s="39">
        <v>695</v>
      </c>
      <c r="J155" s="39">
        <v>0</v>
      </c>
      <c r="K155" s="40"/>
      <c r="L155" s="40"/>
      <c r="M155" s="40"/>
      <c r="N155" s="40"/>
      <c r="O155" s="40"/>
      <c r="P155" s="40"/>
      <c r="Q155" s="40"/>
      <c r="R155" s="40"/>
      <c r="S155" s="40"/>
      <c r="T155" s="40"/>
    </row>
    <row r="156" spans="1:20" ht="15.75">
      <c r="A156" s="13">
        <v>45870</v>
      </c>
      <c r="B156" s="48">
        <v>31</v>
      </c>
      <c r="C156" s="39">
        <v>194.20500000000001</v>
      </c>
      <c r="D156" s="39">
        <v>267.46600000000001</v>
      </c>
      <c r="E156" s="45">
        <v>812.32899999999995</v>
      </c>
      <c r="F156" s="39">
        <v>1274</v>
      </c>
      <c r="G156" s="39">
        <v>50</v>
      </c>
      <c r="H156" s="47">
        <v>600</v>
      </c>
      <c r="I156" s="39">
        <v>695</v>
      </c>
      <c r="J156" s="39">
        <v>0</v>
      </c>
      <c r="K156" s="40"/>
      <c r="L156" s="40"/>
      <c r="M156" s="40"/>
      <c r="N156" s="40"/>
      <c r="O156" s="40"/>
      <c r="P156" s="40"/>
      <c r="Q156" s="40"/>
      <c r="R156" s="40"/>
      <c r="S156" s="40"/>
      <c r="T156" s="40"/>
    </row>
    <row r="157" spans="1:20" ht="15.75">
      <c r="A157" s="13">
        <v>45901</v>
      </c>
      <c r="B157" s="48">
        <v>30</v>
      </c>
      <c r="C157" s="39">
        <v>194.20500000000001</v>
      </c>
      <c r="D157" s="39">
        <v>267.46600000000001</v>
      </c>
      <c r="E157" s="45">
        <v>812.32899999999995</v>
      </c>
      <c r="F157" s="39">
        <v>1274</v>
      </c>
      <c r="G157" s="39">
        <v>50</v>
      </c>
      <c r="H157" s="47">
        <v>600</v>
      </c>
      <c r="I157" s="39">
        <v>695</v>
      </c>
      <c r="J157" s="39">
        <v>0</v>
      </c>
      <c r="K157" s="40"/>
      <c r="L157" s="40"/>
      <c r="M157" s="40"/>
      <c r="N157" s="40"/>
      <c r="O157" s="40"/>
      <c r="P157" s="40"/>
      <c r="Q157" s="40"/>
      <c r="R157" s="40"/>
      <c r="S157" s="40"/>
      <c r="T157" s="40"/>
    </row>
    <row r="158" spans="1:20" ht="15.75">
      <c r="A158" s="13">
        <v>45931</v>
      </c>
      <c r="B158" s="48">
        <v>31</v>
      </c>
      <c r="C158" s="39">
        <v>131.881</v>
      </c>
      <c r="D158" s="39">
        <v>277.16699999999997</v>
      </c>
      <c r="E158" s="45">
        <v>829.952</v>
      </c>
      <c r="F158" s="39">
        <v>1239</v>
      </c>
      <c r="G158" s="39">
        <v>75</v>
      </c>
      <c r="H158" s="47">
        <v>600</v>
      </c>
      <c r="I158" s="39">
        <v>695</v>
      </c>
      <c r="J158" s="39">
        <v>0</v>
      </c>
      <c r="K158" s="40"/>
      <c r="L158" s="40"/>
      <c r="M158" s="40"/>
      <c r="N158" s="40"/>
      <c r="O158" s="40"/>
      <c r="P158" s="40"/>
      <c r="Q158" s="40"/>
      <c r="R158" s="40"/>
      <c r="S158" s="40"/>
      <c r="T158" s="40"/>
    </row>
    <row r="159" spans="1:20" ht="15.75">
      <c r="A159" s="13">
        <v>45962</v>
      </c>
      <c r="B159" s="48">
        <v>30</v>
      </c>
      <c r="C159" s="39">
        <v>122.58</v>
      </c>
      <c r="D159" s="39">
        <v>297.94099999999997</v>
      </c>
      <c r="E159" s="45">
        <v>729.47900000000004</v>
      </c>
      <c r="F159" s="39">
        <v>1150</v>
      </c>
      <c r="G159" s="39">
        <v>100</v>
      </c>
      <c r="H159" s="47">
        <v>600</v>
      </c>
      <c r="I159" s="39">
        <v>695</v>
      </c>
      <c r="J159" s="39">
        <v>50</v>
      </c>
      <c r="K159" s="40"/>
      <c r="L159" s="40"/>
      <c r="M159" s="40"/>
      <c r="N159" s="40"/>
      <c r="O159" s="40"/>
      <c r="P159" s="40"/>
      <c r="Q159" s="40"/>
      <c r="R159" s="40"/>
      <c r="S159" s="40"/>
      <c r="T159" s="40"/>
    </row>
    <row r="160" spans="1:20" ht="15.75">
      <c r="A160" s="13">
        <v>45992</v>
      </c>
      <c r="B160" s="48">
        <v>31</v>
      </c>
      <c r="C160" s="39">
        <v>122.58</v>
      </c>
      <c r="D160" s="39">
        <v>297.94099999999997</v>
      </c>
      <c r="E160" s="45">
        <v>729.47900000000004</v>
      </c>
      <c r="F160" s="39">
        <v>1150</v>
      </c>
      <c r="G160" s="39">
        <v>100</v>
      </c>
      <c r="H160" s="47">
        <v>600</v>
      </c>
      <c r="I160" s="39">
        <v>695</v>
      </c>
      <c r="J160" s="39">
        <v>50</v>
      </c>
      <c r="K160" s="40"/>
      <c r="L160" s="40"/>
      <c r="M160" s="40"/>
      <c r="N160" s="40"/>
      <c r="O160" s="40"/>
      <c r="P160" s="40"/>
      <c r="Q160" s="40"/>
      <c r="R160" s="40"/>
      <c r="S160" s="40"/>
      <c r="T160" s="40"/>
    </row>
    <row r="161" spans="1:20" ht="15.75">
      <c r="A161" s="13">
        <v>46023</v>
      </c>
      <c r="B161" s="48">
        <v>31</v>
      </c>
      <c r="C161" s="39">
        <v>122.58</v>
      </c>
      <c r="D161" s="39">
        <v>297.94099999999997</v>
      </c>
      <c r="E161" s="45">
        <v>729.47900000000004</v>
      </c>
      <c r="F161" s="39">
        <v>1150</v>
      </c>
      <c r="G161" s="39">
        <v>100</v>
      </c>
      <c r="H161" s="47">
        <v>600</v>
      </c>
      <c r="I161" s="39">
        <v>695</v>
      </c>
      <c r="J161" s="39">
        <v>50</v>
      </c>
      <c r="K161" s="40"/>
      <c r="L161" s="40"/>
      <c r="M161" s="40"/>
      <c r="N161" s="40"/>
      <c r="O161" s="40"/>
      <c r="P161" s="40"/>
      <c r="Q161" s="40"/>
      <c r="R161" s="40"/>
      <c r="S161" s="40"/>
      <c r="T161" s="40"/>
    </row>
    <row r="162" spans="1:20" ht="15.75">
      <c r="A162" s="13">
        <v>46054</v>
      </c>
      <c r="B162" s="48">
        <v>28</v>
      </c>
      <c r="C162" s="39">
        <v>122.58</v>
      </c>
      <c r="D162" s="39">
        <v>297.94099999999997</v>
      </c>
      <c r="E162" s="45">
        <v>729.47900000000004</v>
      </c>
      <c r="F162" s="39">
        <v>1150</v>
      </c>
      <c r="G162" s="39">
        <v>100</v>
      </c>
      <c r="H162" s="47">
        <v>600</v>
      </c>
      <c r="I162" s="39">
        <v>695</v>
      </c>
      <c r="J162" s="39">
        <v>50</v>
      </c>
      <c r="K162" s="40"/>
      <c r="L162" s="40"/>
      <c r="M162" s="40"/>
      <c r="N162" s="40"/>
      <c r="O162" s="40"/>
      <c r="P162" s="40"/>
      <c r="Q162" s="40"/>
      <c r="R162" s="40"/>
      <c r="S162" s="40"/>
      <c r="T162" s="40"/>
    </row>
    <row r="163" spans="1:20" ht="15.75">
      <c r="A163" s="13">
        <v>46082</v>
      </c>
      <c r="B163" s="48">
        <v>31</v>
      </c>
      <c r="C163" s="39">
        <v>122.58</v>
      </c>
      <c r="D163" s="39">
        <v>297.94099999999997</v>
      </c>
      <c r="E163" s="45">
        <v>729.47900000000004</v>
      </c>
      <c r="F163" s="39">
        <v>1150</v>
      </c>
      <c r="G163" s="39">
        <v>100</v>
      </c>
      <c r="H163" s="47">
        <v>600</v>
      </c>
      <c r="I163" s="39">
        <v>695</v>
      </c>
      <c r="J163" s="39">
        <v>50</v>
      </c>
      <c r="K163" s="40"/>
      <c r="L163" s="40"/>
      <c r="M163" s="40"/>
      <c r="N163" s="40"/>
      <c r="O163" s="40"/>
      <c r="P163" s="40"/>
      <c r="Q163" s="40"/>
      <c r="R163" s="40"/>
      <c r="S163" s="40"/>
      <c r="T163" s="40"/>
    </row>
    <row r="164" spans="1:20" ht="15.75">
      <c r="A164" s="13">
        <v>46113</v>
      </c>
      <c r="B164" s="48">
        <v>30</v>
      </c>
      <c r="C164" s="39">
        <v>141.29300000000001</v>
      </c>
      <c r="D164" s="39">
        <v>267.99299999999999</v>
      </c>
      <c r="E164" s="45">
        <v>829.71400000000006</v>
      </c>
      <c r="F164" s="39">
        <v>1239</v>
      </c>
      <c r="G164" s="39">
        <v>100</v>
      </c>
      <c r="H164" s="47">
        <v>600</v>
      </c>
      <c r="I164" s="39">
        <v>695</v>
      </c>
      <c r="J164" s="39">
        <v>50</v>
      </c>
      <c r="K164" s="40"/>
      <c r="L164" s="40"/>
      <c r="M164" s="40"/>
      <c r="N164" s="40"/>
      <c r="O164" s="40"/>
      <c r="P164" s="40"/>
      <c r="Q164" s="40"/>
      <c r="R164" s="40"/>
      <c r="S164" s="40"/>
      <c r="T164" s="40"/>
    </row>
    <row r="165" spans="1:20" ht="15.75">
      <c r="A165" s="13">
        <v>46143</v>
      </c>
      <c r="B165" s="48">
        <v>31</v>
      </c>
      <c r="C165" s="39">
        <v>194.20500000000001</v>
      </c>
      <c r="D165" s="39">
        <v>267.46600000000001</v>
      </c>
      <c r="E165" s="45">
        <v>812.32899999999995</v>
      </c>
      <c r="F165" s="39">
        <v>1274</v>
      </c>
      <c r="G165" s="39">
        <v>75</v>
      </c>
      <c r="H165" s="47">
        <v>600</v>
      </c>
      <c r="I165" s="39">
        <v>695</v>
      </c>
      <c r="J165" s="39">
        <v>50</v>
      </c>
      <c r="K165" s="40"/>
      <c r="L165" s="40"/>
      <c r="M165" s="40"/>
      <c r="N165" s="40"/>
      <c r="O165" s="40"/>
      <c r="P165" s="40"/>
      <c r="Q165" s="40"/>
      <c r="R165" s="40"/>
      <c r="S165" s="40"/>
      <c r="T165" s="40"/>
    </row>
    <row r="166" spans="1:20" ht="15.75">
      <c r="A166" s="13">
        <v>46174</v>
      </c>
      <c r="B166" s="48">
        <v>30</v>
      </c>
      <c r="C166" s="39">
        <v>194.20500000000001</v>
      </c>
      <c r="D166" s="39">
        <v>267.46600000000001</v>
      </c>
      <c r="E166" s="45">
        <v>812.32899999999995</v>
      </c>
      <c r="F166" s="39">
        <v>1274</v>
      </c>
      <c r="G166" s="39">
        <v>50</v>
      </c>
      <c r="H166" s="47">
        <v>600</v>
      </c>
      <c r="I166" s="39">
        <v>695</v>
      </c>
      <c r="J166" s="39">
        <v>50</v>
      </c>
      <c r="K166" s="40"/>
      <c r="L166" s="40"/>
      <c r="M166" s="40"/>
      <c r="N166" s="40"/>
      <c r="O166" s="40"/>
      <c r="P166" s="40"/>
      <c r="Q166" s="40"/>
      <c r="R166" s="40"/>
      <c r="S166" s="40"/>
      <c r="T166" s="40"/>
    </row>
    <row r="167" spans="1:20" ht="15.75">
      <c r="A167" s="13">
        <v>46204</v>
      </c>
      <c r="B167" s="48">
        <v>31</v>
      </c>
      <c r="C167" s="39">
        <v>194.20500000000001</v>
      </c>
      <c r="D167" s="39">
        <v>267.46600000000001</v>
      </c>
      <c r="E167" s="45">
        <v>812.32899999999995</v>
      </c>
      <c r="F167" s="39">
        <v>1274</v>
      </c>
      <c r="G167" s="39">
        <v>50</v>
      </c>
      <c r="H167" s="47">
        <v>600</v>
      </c>
      <c r="I167" s="39">
        <v>695</v>
      </c>
      <c r="J167" s="39">
        <v>0</v>
      </c>
      <c r="K167" s="40"/>
      <c r="L167" s="40"/>
      <c r="M167" s="40"/>
      <c r="N167" s="40"/>
      <c r="O167" s="40"/>
      <c r="P167" s="40"/>
      <c r="Q167" s="40"/>
      <c r="R167" s="40"/>
      <c r="S167" s="40"/>
      <c r="T167" s="40"/>
    </row>
    <row r="168" spans="1:20" ht="15.75">
      <c r="A168" s="13">
        <v>46235</v>
      </c>
      <c r="B168" s="48">
        <v>31</v>
      </c>
      <c r="C168" s="39">
        <v>194.20500000000001</v>
      </c>
      <c r="D168" s="39">
        <v>267.46600000000001</v>
      </c>
      <c r="E168" s="45">
        <v>812.32899999999995</v>
      </c>
      <c r="F168" s="39">
        <v>1274</v>
      </c>
      <c r="G168" s="39">
        <v>50</v>
      </c>
      <c r="H168" s="47">
        <v>600</v>
      </c>
      <c r="I168" s="39">
        <v>695</v>
      </c>
      <c r="J168" s="39">
        <v>0</v>
      </c>
      <c r="K168" s="40"/>
      <c r="L168" s="40"/>
      <c r="M168" s="40"/>
      <c r="N168" s="40"/>
      <c r="O168" s="40"/>
      <c r="P168" s="40"/>
      <c r="Q168" s="40"/>
      <c r="R168" s="40"/>
      <c r="S168" s="40"/>
      <c r="T168" s="40"/>
    </row>
    <row r="169" spans="1:20" ht="15.75">
      <c r="A169" s="13">
        <v>46266</v>
      </c>
      <c r="B169" s="48">
        <v>30</v>
      </c>
      <c r="C169" s="39">
        <v>194.20500000000001</v>
      </c>
      <c r="D169" s="39">
        <v>267.46600000000001</v>
      </c>
      <c r="E169" s="45">
        <v>812.32899999999995</v>
      </c>
      <c r="F169" s="39">
        <v>1274</v>
      </c>
      <c r="G169" s="39">
        <v>50</v>
      </c>
      <c r="H169" s="47">
        <v>600</v>
      </c>
      <c r="I169" s="39">
        <v>695</v>
      </c>
      <c r="J169" s="39">
        <v>0</v>
      </c>
      <c r="K169" s="40"/>
      <c r="L169" s="40"/>
      <c r="M169" s="40"/>
      <c r="N169" s="40"/>
      <c r="O169" s="40"/>
      <c r="P169" s="40"/>
      <c r="Q169" s="40"/>
      <c r="R169" s="40"/>
      <c r="S169" s="40"/>
      <c r="T169" s="40"/>
    </row>
    <row r="170" spans="1:20" ht="15.75">
      <c r="A170" s="13">
        <v>46296</v>
      </c>
      <c r="B170" s="48">
        <v>31</v>
      </c>
      <c r="C170" s="39">
        <v>131.881</v>
      </c>
      <c r="D170" s="39">
        <v>277.16699999999997</v>
      </c>
      <c r="E170" s="45">
        <v>829.952</v>
      </c>
      <c r="F170" s="39">
        <v>1239</v>
      </c>
      <c r="G170" s="39">
        <v>75</v>
      </c>
      <c r="H170" s="47">
        <v>600</v>
      </c>
      <c r="I170" s="39">
        <v>695</v>
      </c>
      <c r="J170" s="39">
        <v>0</v>
      </c>
      <c r="K170" s="40"/>
      <c r="L170" s="40"/>
      <c r="M170" s="40"/>
      <c r="N170" s="40"/>
      <c r="O170" s="40"/>
      <c r="P170" s="40"/>
      <c r="Q170" s="40"/>
      <c r="R170" s="40"/>
      <c r="S170" s="40"/>
      <c r="T170" s="40"/>
    </row>
    <row r="171" spans="1:20" ht="15.75">
      <c r="A171" s="13">
        <v>46327</v>
      </c>
      <c r="B171" s="48">
        <v>30</v>
      </c>
      <c r="C171" s="39">
        <v>122.58</v>
      </c>
      <c r="D171" s="39">
        <v>297.94099999999997</v>
      </c>
      <c r="E171" s="45">
        <v>729.47900000000004</v>
      </c>
      <c r="F171" s="39">
        <v>1150</v>
      </c>
      <c r="G171" s="39">
        <v>100</v>
      </c>
      <c r="H171" s="47">
        <v>600</v>
      </c>
      <c r="I171" s="39">
        <v>695</v>
      </c>
      <c r="J171" s="39">
        <v>50</v>
      </c>
      <c r="K171" s="40"/>
      <c r="L171" s="40"/>
      <c r="M171" s="40"/>
      <c r="N171" s="40"/>
      <c r="O171" s="40"/>
      <c r="P171" s="40"/>
      <c r="Q171" s="40"/>
      <c r="R171" s="40"/>
      <c r="S171" s="40"/>
      <c r="T171" s="40"/>
    </row>
    <row r="172" spans="1:20" ht="15.75">
      <c r="A172" s="13">
        <v>46357</v>
      </c>
      <c r="B172" s="48">
        <v>31</v>
      </c>
      <c r="C172" s="39">
        <v>122.58</v>
      </c>
      <c r="D172" s="39">
        <v>297.94099999999997</v>
      </c>
      <c r="E172" s="45">
        <v>729.47900000000004</v>
      </c>
      <c r="F172" s="39">
        <v>1150</v>
      </c>
      <c r="G172" s="39">
        <v>100</v>
      </c>
      <c r="H172" s="47">
        <v>600</v>
      </c>
      <c r="I172" s="39">
        <v>695</v>
      </c>
      <c r="J172" s="39">
        <v>50</v>
      </c>
      <c r="K172" s="40"/>
      <c r="L172" s="40"/>
      <c r="M172" s="40"/>
      <c r="N172" s="40"/>
      <c r="O172" s="40"/>
      <c r="P172" s="40"/>
      <c r="Q172" s="40"/>
      <c r="R172" s="40"/>
      <c r="S172" s="40"/>
      <c r="T172" s="40"/>
    </row>
    <row r="173" spans="1:20" ht="15.75">
      <c r="A173" s="13">
        <v>46388</v>
      </c>
      <c r="B173" s="48">
        <v>31</v>
      </c>
      <c r="C173" s="39">
        <v>122.58</v>
      </c>
      <c r="D173" s="39">
        <v>297.94099999999997</v>
      </c>
      <c r="E173" s="45">
        <v>729.47900000000004</v>
      </c>
      <c r="F173" s="39">
        <v>1150</v>
      </c>
      <c r="G173" s="39">
        <v>100</v>
      </c>
      <c r="H173" s="47">
        <v>600</v>
      </c>
      <c r="I173" s="39">
        <v>695</v>
      </c>
      <c r="J173" s="39">
        <v>50</v>
      </c>
      <c r="K173" s="40"/>
      <c r="L173" s="40"/>
      <c r="M173" s="40"/>
      <c r="N173" s="40"/>
      <c r="O173" s="40"/>
      <c r="P173" s="40"/>
      <c r="Q173" s="40"/>
      <c r="R173" s="40"/>
      <c r="S173" s="40"/>
      <c r="T173" s="40"/>
    </row>
    <row r="174" spans="1:20" ht="15.75">
      <c r="A174" s="13">
        <v>46419</v>
      </c>
      <c r="B174" s="48">
        <v>28</v>
      </c>
      <c r="C174" s="39">
        <v>122.58</v>
      </c>
      <c r="D174" s="39">
        <v>297.94099999999997</v>
      </c>
      <c r="E174" s="45">
        <v>729.47900000000004</v>
      </c>
      <c r="F174" s="39">
        <v>1150</v>
      </c>
      <c r="G174" s="39">
        <v>100</v>
      </c>
      <c r="H174" s="47">
        <v>600</v>
      </c>
      <c r="I174" s="39">
        <v>695</v>
      </c>
      <c r="J174" s="39">
        <v>50</v>
      </c>
      <c r="K174" s="40"/>
      <c r="L174" s="40"/>
      <c r="M174" s="40"/>
      <c r="N174" s="40"/>
      <c r="O174" s="40"/>
      <c r="P174" s="40"/>
      <c r="Q174" s="40"/>
      <c r="R174" s="40"/>
      <c r="S174" s="40"/>
      <c r="T174" s="40"/>
    </row>
    <row r="175" spans="1:20" ht="15.75">
      <c r="A175" s="13">
        <v>46447</v>
      </c>
      <c r="B175" s="48">
        <v>31</v>
      </c>
      <c r="C175" s="39">
        <v>122.58</v>
      </c>
      <c r="D175" s="39">
        <v>297.94099999999997</v>
      </c>
      <c r="E175" s="45">
        <v>729.47900000000004</v>
      </c>
      <c r="F175" s="39">
        <v>1150</v>
      </c>
      <c r="G175" s="39">
        <v>100</v>
      </c>
      <c r="H175" s="47">
        <v>600</v>
      </c>
      <c r="I175" s="39">
        <v>695</v>
      </c>
      <c r="J175" s="39">
        <v>50</v>
      </c>
      <c r="K175" s="40"/>
      <c r="L175" s="40"/>
      <c r="M175" s="40"/>
      <c r="N175" s="40"/>
      <c r="O175" s="40"/>
      <c r="P175" s="40"/>
      <c r="Q175" s="40"/>
      <c r="R175" s="40"/>
      <c r="S175" s="40"/>
      <c r="T175" s="40"/>
    </row>
    <row r="176" spans="1:20" ht="15.75">
      <c r="A176" s="13">
        <v>46478</v>
      </c>
      <c r="B176" s="48">
        <v>30</v>
      </c>
      <c r="C176" s="39">
        <v>141.29300000000001</v>
      </c>
      <c r="D176" s="39">
        <v>267.99299999999999</v>
      </c>
      <c r="E176" s="45">
        <v>829.71400000000006</v>
      </c>
      <c r="F176" s="39">
        <v>1239</v>
      </c>
      <c r="G176" s="39">
        <v>100</v>
      </c>
      <c r="H176" s="47">
        <v>600</v>
      </c>
      <c r="I176" s="39">
        <v>695</v>
      </c>
      <c r="J176" s="39">
        <v>50</v>
      </c>
      <c r="K176" s="40"/>
      <c r="L176" s="40"/>
      <c r="M176" s="40"/>
      <c r="N176" s="40"/>
      <c r="O176" s="40"/>
      <c r="P176" s="40"/>
      <c r="Q176" s="40"/>
      <c r="R176" s="40"/>
      <c r="S176" s="40"/>
      <c r="T176" s="40"/>
    </row>
    <row r="177" spans="1:20" ht="15.75">
      <c r="A177" s="13">
        <v>46508</v>
      </c>
      <c r="B177" s="48">
        <v>31</v>
      </c>
      <c r="C177" s="39">
        <v>194.20500000000001</v>
      </c>
      <c r="D177" s="39">
        <v>267.46600000000001</v>
      </c>
      <c r="E177" s="45">
        <v>812.32899999999995</v>
      </c>
      <c r="F177" s="39">
        <v>1274</v>
      </c>
      <c r="G177" s="39">
        <v>75</v>
      </c>
      <c r="H177" s="47">
        <v>600</v>
      </c>
      <c r="I177" s="39">
        <v>695</v>
      </c>
      <c r="J177" s="39">
        <v>50</v>
      </c>
      <c r="K177" s="40"/>
      <c r="L177" s="40"/>
      <c r="M177" s="40"/>
      <c r="N177" s="40"/>
      <c r="O177" s="40"/>
      <c r="P177" s="40"/>
      <c r="Q177" s="40"/>
      <c r="R177" s="40"/>
      <c r="S177" s="40"/>
      <c r="T177" s="40"/>
    </row>
    <row r="178" spans="1:20" ht="15.75">
      <c r="A178" s="13">
        <v>46539</v>
      </c>
      <c r="B178" s="48">
        <v>30</v>
      </c>
      <c r="C178" s="39">
        <v>194.20500000000001</v>
      </c>
      <c r="D178" s="39">
        <v>267.46600000000001</v>
      </c>
      <c r="E178" s="45">
        <v>812.32899999999995</v>
      </c>
      <c r="F178" s="39">
        <v>1274</v>
      </c>
      <c r="G178" s="39">
        <v>50</v>
      </c>
      <c r="H178" s="47">
        <v>600</v>
      </c>
      <c r="I178" s="39">
        <v>695</v>
      </c>
      <c r="J178" s="39">
        <v>50</v>
      </c>
      <c r="K178" s="40"/>
      <c r="L178" s="40"/>
      <c r="M178" s="40"/>
      <c r="N178" s="40"/>
      <c r="O178" s="40"/>
      <c r="P178" s="40"/>
      <c r="Q178" s="40"/>
      <c r="R178" s="40"/>
      <c r="S178" s="40"/>
      <c r="T178" s="40"/>
    </row>
    <row r="179" spans="1:20" ht="15.75">
      <c r="A179" s="13">
        <v>46569</v>
      </c>
      <c r="B179" s="48">
        <v>31</v>
      </c>
      <c r="C179" s="39">
        <v>194.20500000000001</v>
      </c>
      <c r="D179" s="39">
        <v>267.46600000000001</v>
      </c>
      <c r="E179" s="45">
        <v>812.32899999999995</v>
      </c>
      <c r="F179" s="39">
        <v>1274</v>
      </c>
      <c r="G179" s="39">
        <v>50</v>
      </c>
      <c r="H179" s="47">
        <v>600</v>
      </c>
      <c r="I179" s="39">
        <v>695</v>
      </c>
      <c r="J179" s="39">
        <v>0</v>
      </c>
      <c r="K179" s="40"/>
      <c r="L179" s="40"/>
      <c r="M179" s="40"/>
      <c r="N179" s="40"/>
      <c r="O179" s="40"/>
      <c r="P179" s="40"/>
      <c r="Q179" s="40"/>
      <c r="R179" s="40"/>
      <c r="S179" s="40"/>
      <c r="T179" s="40"/>
    </row>
    <row r="180" spans="1:20" ht="15.75">
      <c r="A180" s="13">
        <v>46600</v>
      </c>
      <c r="B180" s="48">
        <v>31</v>
      </c>
      <c r="C180" s="39">
        <v>194.20500000000001</v>
      </c>
      <c r="D180" s="39">
        <v>267.46600000000001</v>
      </c>
      <c r="E180" s="45">
        <v>812.32899999999995</v>
      </c>
      <c r="F180" s="39">
        <v>1274</v>
      </c>
      <c r="G180" s="39">
        <v>50</v>
      </c>
      <c r="H180" s="47">
        <v>600</v>
      </c>
      <c r="I180" s="39">
        <v>695</v>
      </c>
      <c r="J180" s="39">
        <v>0</v>
      </c>
      <c r="K180" s="40"/>
      <c r="L180" s="40"/>
      <c r="M180" s="40"/>
      <c r="N180" s="40"/>
      <c r="O180" s="40"/>
      <c r="P180" s="40"/>
      <c r="Q180" s="40"/>
      <c r="R180" s="40"/>
      <c r="S180" s="40"/>
      <c r="T180" s="40"/>
    </row>
    <row r="181" spans="1:20" ht="15.75">
      <c r="A181" s="13">
        <v>46631</v>
      </c>
      <c r="B181" s="48">
        <v>30</v>
      </c>
      <c r="C181" s="39">
        <v>194.20500000000001</v>
      </c>
      <c r="D181" s="39">
        <v>267.46600000000001</v>
      </c>
      <c r="E181" s="45">
        <v>812.32899999999995</v>
      </c>
      <c r="F181" s="39">
        <v>1274</v>
      </c>
      <c r="G181" s="39">
        <v>50</v>
      </c>
      <c r="H181" s="47">
        <v>600</v>
      </c>
      <c r="I181" s="39">
        <v>695</v>
      </c>
      <c r="J181" s="39">
        <v>0</v>
      </c>
      <c r="K181" s="40"/>
      <c r="L181" s="40"/>
      <c r="M181" s="40"/>
      <c r="N181" s="40"/>
      <c r="O181" s="40"/>
      <c r="P181" s="40"/>
      <c r="Q181" s="40"/>
      <c r="R181" s="40"/>
      <c r="S181" s="40"/>
      <c r="T181" s="40"/>
    </row>
    <row r="182" spans="1:20" ht="15.75">
      <c r="A182" s="13">
        <v>46661</v>
      </c>
      <c r="B182" s="48">
        <v>31</v>
      </c>
      <c r="C182" s="39">
        <v>131.881</v>
      </c>
      <c r="D182" s="39">
        <v>277.16699999999997</v>
      </c>
      <c r="E182" s="45">
        <v>829.952</v>
      </c>
      <c r="F182" s="39">
        <v>1239</v>
      </c>
      <c r="G182" s="39">
        <v>75</v>
      </c>
      <c r="H182" s="47">
        <v>600</v>
      </c>
      <c r="I182" s="39">
        <v>695</v>
      </c>
      <c r="J182" s="39">
        <v>0</v>
      </c>
      <c r="K182" s="40"/>
      <c r="L182" s="40"/>
      <c r="M182" s="40"/>
      <c r="N182" s="40"/>
      <c r="O182" s="40"/>
      <c r="P182" s="40"/>
      <c r="Q182" s="40"/>
      <c r="R182" s="40"/>
      <c r="S182" s="40"/>
      <c r="T182" s="40"/>
    </row>
    <row r="183" spans="1:20" ht="15.75">
      <c r="A183" s="13">
        <v>46692</v>
      </c>
      <c r="B183" s="48">
        <v>30</v>
      </c>
      <c r="C183" s="39">
        <v>122.58</v>
      </c>
      <c r="D183" s="39">
        <v>297.94099999999997</v>
      </c>
      <c r="E183" s="45">
        <v>729.47900000000004</v>
      </c>
      <c r="F183" s="39">
        <v>1150</v>
      </c>
      <c r="G183" s="39">
        <v>100</v>
      </c>
      <c r="H183" s="47">
        <v>600</v>
      </c>
      <c r="I183" s="39">
        <v>695</v>
      </c>
      <c r="J183" s="39">
        <v>50</v>
      </c>
      <c r="K183" s="40"/>
      <c r="L183" s="40"/>
      <c r="M183" s="40"/>
      <c r="N183" s="40"/>
      <c r="O183" s="40"/>
      <c r="P183" s="40"/>
      <c r="Q183" s="40"/>
      <c r="R183" s="40"/>
      <c r="S183" s="40"/>
      <c r="T183" s="40"/>
    </row>
    <row r="184" spans="1:20" ht="15.75">
      <c r="A184" s="13">
        <v>46722</v>
      </c>
      <c r="B184" s="48">
        <v>31</v>
      </c>
      <c r="C184" s="39">
        <v>122.58</v>
      </c>
      <c r="D184" s="39">
        <v>297.94099999999997</v>
      </c>
      <c r="E184" s="45">
        <v>729.47900000000004</v>
      </c>
      <c r="F184" s="39">
        <v>1150</v>
      </c>
      <c r="G184" s="39">
        <v>100</v>
      </c>
      <c r="H184" s="47">
        <v>600</v>
      </c>
      <c r="I184" s="39">
        <v>695</v>
      </c>
      <c r="J184" s="39">
        <v>50</v>
      </c>
      <c r="K184" s="40"/>
      <c r="L184" s="40"/>
      <c r="M184" s="40"/>
      <c r="N184" s="40"/>
      <c r="O184" s="40"/>
      <c r="P184" s="40"/>
      <c r="Q184" s="40"/>
      <c r="R184" s="40"/>
      <c r="S184" s="40"/>
      <c r="T184" s="40"/>
    </row>
    <row r="185" spans="1:20" ht="15.75">
      <c r="A185" s="13">
        <v>46753</v>
      </c>
      <c r="B185" s="48">
        <v>31</v>
      </c>
      <c r="C185" s="39">
        <v>122.58</v>
      </c>
      <c r="D185" s="39">
        <v>297.94099999999997</v>
      </c>
      <c r="E185" s="45">
        <v>729.47900000000004</v>
      </c>
      <c r="F185" s="39">
        <v>1150</v>
      </c>
      <c r="G185" s="39">
        <v>100</v>
      </c>
      <c r="H185" s="47">
        <v>600</v>
      </c>
      <c r="I185" s="39">
        <v>695</v>
      </c>
      <c r="J185" s="39">
        <v>50</v>
      </c>
      <c r="K185" s="40"/>
      <c r="L185" s="40"/>
      <c r="M185" s="40"/>
      <c r="N185" s="40"/>
      <c r="O185" s="40"/>
      <c r="P185" s="40"/>
      <c r="Q185" s="40"/>
      <c r="R185" s="40"/>
      <c r="S185" s="40"/>
      <c r="T185" s="40"/>
    </row>
    <row r="186" spans="1:20" ht="15.75">
      <c r="A186" s="13">
        <v>46784</v>
      </c>
      <c r="B186" s="48">
        <v>29</v>
      </c>
      <c r="C186" s="39">
        <v>122.58</v>
      </c>
      <c r="D186" s="39">
        <v>297.94099999999997</v>
      </c>
      <c r="E186" s="45">
        <v>729.47900000000004</v>
      </c>
      <c r="F186" s="39">
        <v>1150</v>
      </c>
      <c r="G186" s="39">
        <v>100</v>
      </c>
      <c r="H186" s="47">
        <v>600</v>
      </c>
      <c r="I186" s="39">
        <v>695</v>
      </c>
      <c r="J186" s="39">
        <v>50</v>
      </c>
      <c r="K186" s="40"/>
      <c r="L186" s="40"/>
      <c r="M186" s="40"/>
      <c r="N186" s="40"/>
      <c r="O186" s="40"/>
      <c r="P186" s="40"/>
      <c r="Q186" s="40"/>
      <c r="R186" s="40"/>
      <c r="S186" s="40"/>
      <c r="T186" s="40"/>
    </row>
    <row r="187" spans="1:20" ht="15.75">
      <c r="A187" s="13">
        <v>46813</v>
      </c>
      <c r="B187" s="48">
        <v>31</v>
      </c>
      <c r="C187" s="39">
        <v>122.58</v>
      </c>
      <c r="D187" s="39">
        <v>297.94099999999997</v>
      </c>
      <c r="E187" s="45">
        <v>729.47900000000004</v>
      </c>
      <c r="F187" s="39">
        <v>1150</v>
      </c>
      <c r="G187" s="39">
        <v>100</v>
      </c>
      <c r="H187" s="47">
        <v>600</v>
      </c>
      <c r="I187" s="39">
        <v>695</v>
      </c>
      <c r="J187" s="39">
        <v>50</v>
      </c>
      <c r="K187" s="40"/>
      <c r="L187" s="40"/>
      <c r="M187" s="40"/>
      <c r="N187" s="40"/>
      <c r="O187" s="40"/>
      <c r="P187" s="40"/>
      <c r="Q187" s="40"/>
      <c r="R187" s="40"/>
      <c r="S187" s="40"/>
      <c r="T187" s="40"/>
    </row>
    <row r="188" spans="1:20" ht="15.75">
      <c r="A188" s="13">
        <v>46844</v>
      </c>
      <c r="B188" s="48">
        <v>30</v>
      </c>
      <c r="C188" s="39">
        <v>141.29300000000001</v>
      </c>
      <c r="D188" s="39">
        <v>267.99299999999999</v>
      </c>
      <c r="E188" s="45">
        <v>829.71400000000006</v>
      </c>
      <c r="F188" s="39">
        <v>1239</v>
      </c>
      <c r="G188" s="39">
        <v>100</v>
      </c>
      <c r="H188" s="47">
        <v>600</v>
      </c>
      <c r="I188" s="39">
        <v>695</v>
      </c>
      <c r="J188" s="39">
        <v>50</v>
      </c>
      <c r="K188" s="40"/>
      <c r="L188" s="40"/>
      <c r="M188" s="40"/>
      <c r="N188" s="40"/>
      <c r="O188" s="40"/>
      <c r="P188" s="40"/>
      <c r="Q188" s="40"/>
      <c r="R188" s="40"/>
      <c r="S188" s="40"/>
      <c r="T188" s="40"/>
    </row>
    <row r="189" spans="1:20" ht="15.75">
      <c r="A189" s="13">
        <v>46874</v>
      </c>
      <c r="B189" s="48">
        <v>31</v>
      </c>
      <c r="C189" s="39">
        <v>194.20500000000001</v>
      </c>
      <c r="D189" s="39">
        <v>267.46600000000001</v>
      </c>
      <c r="E189" s="45">
        <v>812.32899999999995</v>
      </c>
      <c r="F189" s="39">
        <v>1274</v>
      </c>
      <c r="G189" s="39">
        <v>75</v>
      </c>
      <c r="H189" s="47">
        <v>600</v>
      </c>
      <c r="I189" s="39">
        <v>695</v>
      </c>
      <c r="J189" s="39">
        <v>50</v>
      </c>
      <c r="K189" s="40"/>
      <c r="L189" s="40"/>
      <c r="M189" s="40"/>
      <c r="N189" s="40"/>
      <c r="O189" s="40"/>
      <c r="P189" s="40"/>
      <c r="Q189" s="40"/>
      <c r="R189" s="40"/>
      <c r="S189" s="40"/>
      <c r="T189" s="40"/>
    </row>
    <row r="190" spans="1:20" ht="15.75">
      <c r="A190" s="13">
        <v>46905</v>
      </c>
      <c r="B190" s="48">
        <v>30</v>
      </c>
      <c r="C190" s="39">
        <v>194.20500000000001</v>
      </c>
      <c r="D190" s="39">
        <v>267.46600000000001</v>
      </c>
      <c r="E190" s="45">
        <v>812.32899999999995</v>
      </c>
      <c r="F190" s="39">
        <v>1274</v>
      </c>
      <c r="G190" s="39">
        <v>50</v>
      </c>
      <c r="H190" s="47">
        <v>600</v>
      </c>
      <c r="I190" s="39">
        <v>695</v>
      </c>
      <c r="J190" s="39">
        <v>50</v>
      </c>
      <c r="K190" s="40"/>
      <c r="L190" s="40"/>
      <c r="M190" s="40"/>
      <c r="N190" s="40"/>
      <c r="O190" s="40"/>
      <c r="P190" s="40"/>
      <c r="Q190" s="40"/>
      <c r="R190" s="40"/>
      <c r="S190" s="40"/>
      <c r="T190" s="40"/>
    </row>
    <row r="191" spans="1:20" ht="15.75">
      <c r="A191" s="13">
        <v>46935</v>
      </c>
      <c r="B191" s="48">
        <v>31</v>
      </c>
      <c r="C191" s="39">
        <v>194.20500000000001</v>
      </c>
      <c r="D191" s="39">
        <v>267.46600000000001</v>
      </c>
      <c r="E191" s="45">
        <v>812.32899999999995</v>
      </c>
      <c r="F191" s="39">
        <v>1274</v>
      </c>
      <c r="G191" s="39">
        <v>50</v>
      </c>
      <c r="H191" s="47">
        <v>600</v>
      </c>
      <c r="I191" s="39">
        <v>695</v>
      </c>
      <c r="J191" s="39">
        <v>0</v>
      </c>
      <c r="K191" s="40"/>
      <c r="L191" s="40"/>
      <c r="M191" s="40"/>
      <c r="N191" s="40"/>
      <c r="O191" s="40"/>
      <c r="P191" s="40"/>
      <c r="Q191" s="40"/>
      <c r="R191" s="40"/>
      <c r="S191" s="40"/>
      <c r="T191" s="40"/>
    </row>
    <row r="192" spans="1:20" ht="15.75">
      <c r="A192" s="13">
        <v>46966</v>
      </c>
      <c r="B192" s="48">
        <v>31</v>
      </c>
      <c r="C192" s="39">
        <v>194.20500000000001</v>
      </c>
      <c r="D192" s="39">
        <v>267.46600000000001</v>
      </c>
      <c r="E192" s="45">
        <v>812.32899999999995</v>
      </c>
      <c r="F192" s="39">
        <v>1274</v>
      </c>
      <c r="G192" s="39">
        <v>50</v>
      </c>
      <c r="H192" s="47">
        <v>600</v>
      </c>
      <c r="I192" s="39">
        <v>695</v>
      </c>
      <c r="J192" s="39">
        <v>0</v>
      </c>
      <c r="K192" s="40"/>
      <c r="L192" s="40"/>
      <c r="M192" s="40"/>
      <c r="N192" s="40"/>
      <c r="O192" s="40"/>
      <c r="P192" s="40"/>
      <c r="Q192" s="40"/>
      <c r="R192" s="40"/>
      <c r="S192" s="40"/>
      <c r="T192" s="40"/>
    </row>
    <row r="193" spans="1:20" ht="15.75">
      <c r="A193" s="13">
        <v>46997</v>
      </c>
      <c r="B193" s="48">
        <v>30</v>
      </c>
      <c r="C193" s="39">
        <v>194.20500000000001</v>
      </c>
      <c r="D193" s="39">
        <v>267.46600000000001</v>
      </c>
      <c r="E193" s="45">
        <v>812.32899999999995</v>
      </c>
      <c r="F193" s="39">
        <v>1274</v>
      </c>
      <c r="G193" s="39">
        <v>50</v>
      </c>
      <c r="H193" s="47">
        <v>600</v>
      </c>
      <c r="I193" s="39">
        <v>695</v>
      </c>
      <c r="J193" s="39">
        <v>0</v>
      </c>
      <c r="K193" s="40"/>
      <c r="L193" s="40"/>
      <c r="M193" s="40"/>
      <c r="N193" s="40"/>
      <c r="O193" s="40"/>
      <c r="P193" s="40"/>
      <c r="Q193" s="40"/>
      <c r="R193" s="40"/>
      <c r="S193" s="40"/>
      <c r="T193" s="40"/>
    </row>
    <row r="194" spans="1:20" ht="15.75">
      <c r="A194" s="13">
        <v>47027</v>
      </c>
      <c r="B194" s="48">
        <v>31</v>
      </c>
      <c r="C194" s="39">
        <v>131.881</v>
      </c>
      <c r="D194" s="39">
        <v>277.16699999999997</v>
      </c>
      <c r="E194" s="45">
        <v>829.952</v>
      </c>
      <c r="F194" s="39">
        <v>1239</v>
      </c>
      <c r="G194" s="39">
        <v>75</v>
      </c>
      <c r="H194" s="47">
        <v>600</v>
      </c>
      <c r="I194" s="39">
        <v>695</v>
      </c>
      <c r="J194" s="39">
        <v>0</v>
      </c>
      <c r="K194" s="40"/>
      <c r="L194" s="40"/>
      <c r="M194" s="40"/>
      <c r="N194" s="40"/>
      <c r="O194" s="40"/>
      <c r="P194" s="40"/>
      <c r="Q194" s="40"/>
      <c r="R194" s="40"/>
      <c r="S194" s="40"/>
      <c r="T194" s="40"/>
    </row>
    <row r="195" spans="1:20" ht="15.75">
      <c r="A195" s="13">
        <v>47058</v>
      </c>
      <c r="B195" s="48">
        <v>30</v>
      </c>
      <c r="C195" s="39">
        <v>122.58</v>
      </c>
      <c r="D195" s="39">
        <v>297.94099999999997</v>
      </c>
      <c r="E195" s="45">
        <v>729.47900000000004</v>
      </c>
      <c r="F195" s="39">
        <v>1150</v>
      </c>
      <c r="G195" s="39">
        <v>100</v>
      </c>
      <c r="H195" s="47">
        <v>600</v>
      </c>
      <c r="I195" s="39">
        <v>695</v>
      </c>
      <c r="J195" s="39">
        <v>50</v>
      </c>
      <c r="K195" s="40"/>
      <c r="L195" s="40"/>
      <c r="M195" s="40"/>
      <c r="N195" s="40"/>
      <c r="O195" s="40"/>
      <c r="P195" s="40"/>
      <c r="Q195" s="40"/>
      <c r="R195" s="40"/>
      <c r="S195" s="40"/>
      <c r="T195" s="40"/>
    </row>
    <row r="196" spans="1:20" ht="15.75">
      <c r="A196" s="13">
        <v>47088</v>
      </c>
      <c r="B196" s="48">
        <v>31</v>
      </c>
      <c r="C196" s="39">
        <v>122.58</v>
      </c>
      <c r="D196" s="39">
        <v>297.94099999999997</v>
      </c>
      <c r="E196" s="45">
        <v>729.47900000000004</v>
      </c>
      <c r="F196" s="39">
        <v>1150</v>
      </c>
      <c r="G196" s="39">
        <v>100</v>
      </c>
      <c r="H196" s="47">
        <v>600</v>
      </c>
      <c r="I196" s="39">
        <v>695</v>
      </c>
      <c r="J196" s="39">
        <v>50</v>
      </c>
      <c r="K196" s="40"/>
      <c r="L196" s="40"/>
      <c r="M196" s="40"/>
      <c r="N196" s="40"/>
      <c r="O196" s="40"/>
      <c r="P196" s="40"/>
      <c r="Q196" s="40"/>
      <c r="R196" s="40"/>
      <c r="S196" s="40"/>
      <c r="T196" s="40"/>
    </row>
    <row r="197" spans="1:20" ht="15.75">
      <c r="A197" s="13">
        <v>47119</v>
      </c>
      <c r="B197" s="48">
        <v>31</v>
      </c>
      <c r="C197" s="39">
        <v>122.58</v>
      </c>
      <c r="D197" s="39">
        <v>297.94099999999997</v>
      </c>
      <c r="E197" s="45">
        <v>729.47900000000004</v>
      </c>
      <c r="F197" s="39">
        <v>1150</v>
      </c>
      <c r="G197" s="39">
        <v>100</v>
      </c>
      <c r="H197" s="47">
        <v>600</v>
      </c>
      <c r="I197" s="39">
        <v>695</v>
      </c>
      <c r="J197" s="39">
        <v>50</v>
      </c>
      <c r="K197" s="40"/>
      <c r="L197" s="40"/>
      <c r="M197" s="40"/>
      <c r="N197" s="40"/>
      <c r="O197" s="40"/>
      <c r="P197" s="40"/>
      <c r="Q197" s="40"/>
      <c r="R197" s="40"/>
      <c r="S197" s="40"/>
      <c r="T197" s="40"/>
    </row>
    <row r="198" spans="1:20" ht="15.75">
      <c r="A198" s="13">
        <v>47150</v>
      </c>
      <c r="B198" s="48">
        <v>28</v>
      </c>
      <c r="C198" s="39">
        <v>122.58</v>
      </c>
      <c r="D198" s="39">
        <v>297.94099999999997</v>
      </c>
      <c r="E198" s="45">
        <v>729.47900000000004</v>
      </c>
      <c r="F198" s="39">
        <v>1150</v>
      </c>
      <c r="G198" s="39">
        <v>100</v>
      </c>
      <c r="H198" s="47">
        <v>600</v>
      </c>
      <c r="I198" s="39">
        <v>695</v>
      </c>
      <c r="J198" s="39">
        <v>50</v>
      </c>
      <c r="K198" s="40"/>
      <c r="L198" s="40"/>
      <c r="M198" s="40"/>
      <c r="N198" s="40"/>
      <c r="O198" s="40"/>
      <c r="P198" s="40"/>
      <c r="Q198" s="40"/>
      <c r="R198" s="40"/>
      <c r="S198" s="40"/>
      <c r="T198" s="40"/>
    </row>
    <row r="199" spans="1:20" ht="15.75">
      <c r="A199" s="13">
        <v>47178</v>
      </c>
      <c r="B199" s="48">
        <v>31</v>
      </c>
      <c r="C199" s="39">
        <v>122.58</v>
      </c>
      <c r="D199" s="39">
        <v>297.94099999999997</v>
      </c>
      <c r="E199" s="45">
        <v>729.47900000000004</v>
      </c>
      <c r="F199" s="39">
        <v>1150</v>
      </c>
      <c r="G199" s="39">
        <v>100</v>
      </c>
      <c r="H199" s="47">
        <v>600</v>
      </c>
      <c r="I199" s="39">
        <v>695</v>
      </c>
      <c r="J199" s="39">
        <v>50</v>
      </c>
      <c r="K199" s="40"/>
      <c r="L199" s="40"/>
      <c r="M199" s="40"/>
      <c r="N199" s="40"/>
      <c r="O199" s="40"/>
      <c r="P199" s="40"/>
      <c r="Q199" s="40"/>
      <c r="R199" s="40"/>
      <c r="S199" s="40"/>
      <c r="T199" s="40"/>
    </row>
    <row r="200" spans="1:20" ht="15.75">
      <c r="A200" s="13">
        <v>47209</v>
      </c>
      <c r="B200" s="48">
        <v>30</v>
      </c>
      <c r="C200" s="39">
        <v>141.29300000000001</v>
      </c>
      <c r="D200" s="39">
        <v>267.99299999999999</v>
      </c>
      <c r="E200" s="45">
        <v>829.71400000000006</v>
      </c>
      <c r="F200" s="39">
        <v>1239</v>
      </c>
      <c r="G200" s="39">
        <v>100</v>
      </c>
      <c r="H200" s="47">
        <v>600</v>
      </c>
      <c r="I200" s="39">
        <v>695</v>
      </c>
      <c r="J200" s="39">
        <v>50</v>
      </c>
      <c r="K200" s="40"/>
      <c r="L200" s="40"/>
      <c r="M200" s="40"/>
      <c r="N200" s="40"/>
      <c r="O200" s="40"/>
      <c r="P200" s="40"/>
      <c r="Q200" s="40"/>
      <c r="R200" s="40"/>
      <c r="S200" s="40"/>
      <c r="T200" s="40"/>
    </row>
    <row r="201" spans="1:20" ht="15.75">
      <c r="A201" s="13">
        <v>47239</v>
      </c>
      <c r="B201" s="48">
        <v>31</v>
      </c>
      <c r="C201" s="39">
        <v>194.20500000000001</v>
      </c>
      <c r="D201" s="39">
        <v>267.46600000000001</v>
      </c>
      <c r="E201" s="45">
        <v>812.32899999999995</v>
      </c>
      <c r="F201" s="39">
        <v>1274</v>
      </c>
      <c r="G201" s="39">
        <v>75</v>
      </c>
      <c r="H201" s="47">
        <v>600</v>
      </c>
      <c r="I201" s="39">
        <v>695</v>
      </c>
      <c r="J201" s="39">
        <v>50</v>
      </c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1:20" ht="15.75">
      <c r="A202" s="13">
        <v>47270</v>
      </c>
      <c r="B202" s="48">
        <v>30</v>
      </c>
      <c r="C202" s="39">
        <v>194.20500000000001</v>
      </c>
      <c r="D202" s="39">
        <v>267.46600000000001</v>
      </c>
      <c r="E202" s="45">
        <v>812.32899999999995</v>
      </c>
      <c r="F202" s="39">
        <v>1274</v>
      </c>
      <c r="G202" s="39">
        <v>50</v>
      </c>
      <c r="H202" s="47">
        <v>600</v>
      </c>
      <c r="I202" s="39">
        <v>695</v>
      </c>
      <c r="J202" s="39">
        <v>50</v>
      </c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1:20" ht="15.75">
      <c r="A203" s="13">
        <v>47300</v>
      </c>
      <c r="B203" s="48">
        <v>31</v>
      </c>
      <c r="C203" s="39">
        <v>194.20500000000001</v>
      </c>
      <c r="D203" s="39">
        <v>267.46600000000001</v>
      </c>
      <c r="E203" s="45">
        <v>812.32899999999995</v>
      </c>
      <c r="F203" s="39">
        <v>1274</v>
      </c>
      <c r="G203" s="39">
        <v>50</v>
      </c>
      <c r="H203" s="47">
        <v>600</v>
      </c>
      <c r="I203" s="39">
        <v>695</v>
      </c>
      <c r="J203" s="39">
        <v>0</v>
      </c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1:20" ht="15.75">
      <c r="A204" s="13">
        <v>47331</v>
      </c>
      <c r="B204" s="48">
        <v>31</v>
      </c>
      <c r="C204" s="39">
        <v>194.20500000000001</v>
      </c>
      <c r="D204" s="39">
        <v>267.46600000000001</v>
      </c>
      <c r="E204" s="45">
        <v>812.32899999999995</v>
      </c>
      <c r="F204" s="39">
        <v>1274</v>
      </c>
      <c r="G204" s="39">
        <v>50</v>
      </c>
      <c r="H204" s="47">
        <v>600</v>
      </c>
      <c r="I204" s="39">
        <v>695</v>
      </c>
      <c r="J204" s="39">
        <v>0</v>
      </c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1:20" ht="15.75">
      <c r="A205" s="13">
        <v>47362</v>
      </c>
      <c r="B205" s="48">
        <v>30</v>
      </c>
      <c r="C205" s="39">
        <v>194.20500000000001</v>
      </c>
      <c r="D205" s="39">
        <v>267.46600000000001</v>
      </c>
      <c r="E205" s="45">
        <v>812.32899999999995</v>
      </c>
      <c r="F205" s="39">
        <v>1274</v>
      </c>
      <c r="G205" s="39">
        <v>50</v>
      </c>
      <c r="H205" s="47">
        <v>600</v>
      </c>
      <c r="I205" s="39">
        <v>695</v>
      </c>
      <c r="J205" s="39">
        <v>0</v>
      </c>
      <c r="K205" s="40"/>
      <c r="L205" s="40"/>
      <c r="M205" s="40"/>
      <c r="N205" s="40"/>
      <c r="O205" s="40"/>
      <c r="P205" s="40"/>
      <c r="Q205" s="40"/>
      <c r="R205" s="40"/>
      <c r="S205" s="40"/>
      <c r="T205" s="40"/>
    </row>
    <row r="206" spans="1:20" ht="15.75">
      <c r="A206" s="13">
        <v>47392</v>
      </c>
      <c r="B206" s="48">
        <v>31</v>
      </c>
      <c r="C206" s="39">
        <v>131.881</v>
      </c>
      <c r="D206" s="39">
        <v>277.16699999999997</v>
      </c>
      <c r="E206" s="45">
        <v>829.952</v>
      </c>
      <c r="F206" s="39">
        <v>1239</v>
      </c>
      <c r="G206" s="39">
        <v>75</v>
      </c>
      <c r="H206" s="47">
        <v>600</v>
      </c>
      <c r="I206" s="39">
        <v>695</v>
      </c>
      <c r="J206" s="39">
        <v>0</v>
      </c>
      <c r="K206" s="40"/>
      <c r="L206" s="40"/>
      <c r="M206" s="40"/>
      <c r="N206" s="40"/>
      <c r="O206" s="40"/>
      <c r="P206" s="40"/>
      <c r="Q206" s="40"/>
      <c r="R206" s="40"/>
      <c r="S206" s="40"/>
      <c r="T206" s="40"/>
    </row>
    <row r="207" spans="1:20" ht="15.75">
      <c r="A207" s="13">
        <v>47423</v>
      </c>
      <c r="B207" s="48">
        <v>30</v>
      </c>
      <c r="C207" s="39">
        <v>122.58</v>
      </c>
      <c r="D207" s="39">
        <v>297.94099999999997</v>
      </c>
      <c r="E207" s="45">
        <v>729.47900000000004</v>
      </c>
      <c r="F207" s="39">
        <v>1150</v>
      </c>
      <c r="G207" s="39">
        <v>100</v>
      </c>
      <c r="H207" s="47">
        <v>600</v>
      </c>
      <c r="I207" s="39">
        <v>695</v>
      </c>
      <c r="J207" s="39">
        <v>50</v>
      </c>
      <c r="K207" s="40"/>
      <c r="L207" s="40"/>
      <c r="M207" s="40"/>
      <c r="N207" s="40"/>
      <c r="O207" s="40"/>
      <c r="P207" s="40"/>
      <c r="Q207" s="40"/>
      <c r="R207" s="40"/>
      <c r="S207" s="40"/>
      <c r="T207" s="40"/>
    </row>
    <row r="208" spans="1:20" ht="15.75">
      <c r="A208" s="13">
        <v>47453</v>
      </c>
      <c r="B208" s="48">
        <v>31</v>
      </c>
      <c r="C208" s="39">
        <v>122.58</v>
      </c>
      <c r="D208" s="39">
        <v>297.94099999999997</v>
      </c>
      <c r="E208" s="45">
        <v>729.47900000000004</v>
      </c>
      <c r="F208" s="39">
        <v>1150</v>
      </c>
      <c r="G208" s="39">
        <v>100</v>
      </c>
      <c r="H208" s="47">
        <v>600</v>
      </c>
      <c r="I208" s="39">
        <v>695</v>
      </c>
      <c r="J208" s="39">
        <v>50</v>
      </c>
      <c r="K208" s="40"/>
      <c r="L208" s="40"/>
      <c r="M208" s="40"/>
      <c r="N208" s="40"/>
      <c r="O208" s="40"/>
      <c r="P208" s="40"/>
      <c r="Q208" s="40"/>
      <c r="R208" s="40"/>
      <c r="S208" s="40"/>
      <c r="T208" s="40"/>
    </row>
    <row r="209" spans="1:20" ht="15.75">
      <c r="A209" s="13">
        <v>47484</v>
      </c>
      <c r="B209" s="48">
        <v>31</v>
      </c>
      <c r="C209" s="39">
        <v>122.58</v>
      </c>
      <c r="D209" s="39">
        <v>297.94099999999997</v>
      </c>
      <c r="E209" s="45">
        <v>729.47900000000004</v>
      </c>
      <c r="F209" s="39">
        <v>1150</v>
      </c>
      <c r="G209" s="39">
        <v>100</v>
      </c>
      <c r="H209" s="47">
        <v>600</v>
      </c>
      <c r="I209" s="39">
        <v>695</v>
      </c>
      <c r="J209" s="39">
        <v>50</v>
      </c>
      <c r="K209" s="40"/>
      <c r="L209" s="40"/>
      <c r="M209" s="40"/>
      <c r="N209" s="40"/>
      <c r="O209" s="40"/>
      <c r="P209" s="40"/>
      <c r="Q209" s="40"/>
      <c r="R209" s="40"/>
      <c r="S209" s="40"/>
      <c r="T209" s="40"/>
    </row>
    <row r="210" spans="1:20" ht="15.75">
      <c r="A210" s="13">
        <v>47515</v>
      </c>
      <c r="B210" s="48">
        <v>28</v>
      </c>
      <c r="C210" s="39">
        <v>122.58</v>
      </c>
      <c r="D210" s="39">
        <v>297.94099999999997</v>
      </c>
      <c r="E210" s="45">
        <v>729.47900000000004</v>
      </c>
      <c r="F210" s="39">
        <v>1150</v>
      </c>
      <c r="G210" s="39">
        <v>100</v>
      </c>
      <c r="H210" s="47">
        <v>600</v>
      </c>
      <c r="I210" s="39">
        <v>695</v>
      </c>
      <c r="J210" s="39">
        <v>50</v>
      </c>
      <c r="K210" s="40"/>
      <c r="L210" s="40"/>
      <c r="M210" s="40"/>
      <c r="N210" s="40"/>
      <c r="O210" s="40"/>
      <c r="P210" s="40"/>
      <c r="Q210" s="40"/>
      <c r="R210" s="40"/>
      <c r="S210" s="40"/>
      <c r="T210" s="40"/>
    </row>
    <row r="211" spans="1:20" ht="15.75">
      <c r="A211" s="13">
        <v>47543</v>
      </c>
      <c r="B211" s="48">
        <v>31</v>
      </c>
      <c r="C211" s="39">
        <v>122.58</v>
      </c>
      <c r="D211" s="39">
        <v>297.94099999999997</v>
      </c>
      <c r="E211" s="45">
        <v>729.47900000000004</v>
      </c>
      <c r="F211" s="39">
        <v>1150</v>
      </c>
      <c r="G211" s="39">
        <v>100</v>
      </c>
      <c r="H211" s="47">
        <v>600</v>
      </c>
      <c r="I211" s="39">
        <v>695</v>
      </c>
      <c r="J211" s="39">
        <v>50</v>
      </c>
      <c r="K211" s="40"/>
      <c r="L211" s="40"/>
      <c r="M211" s="40"/>
      <c r="N211" s="40"/>
      <c r="O211" s="40"/>
      <c r="P211" s="40"/>
      <c r="Q211" s="40"/>
      <c r="R211" s="40"/>
      <c r="S211" s="40"/>
      <c r="T211" s="40"/>
    </row>
    <row r="212" spans="1:20" ht="15.75">
      <c r="A212" s="13">
        <v>47574</v>
      </c>
      <c r="B212" s="48">
        <v>30</v>
      </c>
      <c r="C212" s="39">
        <v>141.29300000000001</v>
      </c>
      <c r="D212" s="39">
        <v>267.99299999999999</v>
      </c>
      <c r="E212" s="45">
        <v>829.71400000000006</v>
      </c>
      <c r="F212" s="39">
        <v>1239</v>
      </c>
      <c r="G212" s="39">
        <v>100</v>
      </c>
      <c r="H212" s="47">
        <v>600</v>
      </c>
      <c r="I212" s="39">
        <v>695</v>
      </c>
      <c r="J212" s="39">
        <v>50</v>
      </c>
      <c r="K212" s="40"/>
      <c r="L212" s="40"/>
      <c r="M212" s="40"/>
      <c r="N212" s="40"/>
      <c r="O212" s="40"/>
      <c r="P212" s="40"/>
      <c r="Q212" s="40"/>
      <c r="R212" s="40"/>
      <c r="S212" s="40"/>
      <c r="T212" s="40"/>
    </row>
    <row r="213" spans="1:20" ht="15.75">
      <c r="A213" s="13">
        <v>47604</v>
      </c>
      <c r="B213" s="48">
        <v>31</v>
      </c>
      <c r="C213" s="39">
        <v>194.20500000000001</v>
      </c>
      <c r="D213" s="39">
        <v>267.46600000000001</v>
      </c>
      <c r="E213" s="45">
        <v>812.32899999999995</v>
      </c>
      <c r="F213" s="39">
        <v>1274</v>
      </c>
      <c r="G213" s="39">
        <v>75</v>
      </c>
      <c r="H213" s="47">
        <v>600</v>
      </c>
      <c r="I213" s="39">
        <v>695</v>
      </c>
      <c r="J213" s="39">
        <v>50</v>
      </c>
      <c r="K213" s="40"/>
      <c r="L213" s="40"/>
      <c r="M213" s="40"/>
      <c r="N213" s="40"/>
      <c r="O213" s="40"/>
      <c r="P213" s="40"/>
      <c r="Q213" s="40"/>
      <c r="R213" s="40"/>
      <c r="S213" s="40"/>
      <c r="T213" s="40"/>
    </row>
    <row r="214" spans="1:20" ht="15.75">
      <c r="A214" s="13">
        <v>47635</v>
      </c>
      <c r="B214" s="48">
        <v>30</v>
      </c>
      <c r="C214" s="39">
        <v>194.20500000000001</v>
      </c>
      <c r="D214" s="39">
        <v>267.46600000000001</v>
      </c>
      <c r="E214" s="45">
        <v>812.32899999999995</v>
      </c>
      <c r="F214" s="39">
        <v>1274</v>
      </c>
      <c r="G214" s="39">
        <v>50</v>
      </c>
      <c r="H214" s="47">
        <v>600</v>
      </c>
      <c r="I214" s="39">
        <v>695</v>
      </c>
      <c r="J214" s="39">
        <v>50</v>
      </c>
      <c r="K214" s="40"/>
      <c r="L214" s="40"/>
      <c r="M214" s="40"/>
      <c r="N214" s="40"/>
      <c r="O214" s="40"/>
      <c r="P214" s="40"/>
      <c r="Q214" s="40"/>
      <c r="R214" s="40"/>
      <c r="S214" s="40"/>
      <c r="T214" s="40"/>
    </row>
    <row r="215" spans="1:20" ht="15.75">
      <c r="A215" s="13">
        <v>47665</v>
      </c>
      <c r="B215" s="48">
        <v>31</v>
      </c>
      <c r="C215" s="39">
        <v>194.20500000000001</v>
      </c>
      <c r="D215" s="39">
        <v>267.46600000000001</v>
      </c>
      <c r="E215" s="45">
        <v>812.32899999999995</v>
      </c>
      <c r="F215" s="39">
        <v>1274</v>
      </c>
      <c r="G215" s="39">
        <v>50</v>
      </c>
      <c r="H215" s="47">
        <v>600</v>
      </c>
      <c r="I215" s="39">
        <v>695</v>
      </c>
      <c r="J215" s="39">
        <v>0</v>
      </c>
      <c r="K215" s="40"/>
      <c r="L215" s="40"/>
      <c r="M215" s="40"/>
      <c r="N215" s="40"/>
      <c r="O215" s="40"/>
      <c r="P215" s="40"/>
      <c r="Q215" s="40"/>
      <c r="R215" s="40"/>
      <c r="S215" s="40"/>
      <c r="T215" s="40"/>
    </row>
    <row r="216" spans="1:20" ht="15.75">
      <c r="A216" s="13">
        <v>47696</v>
      </c>
      <c r="B216" s="48">
        <v>31</v>
      </c>
      <c r="C216" s="39">
        <v>194.20500000000001</v>
      </c>
      <c r="D216" s="39">
        <v>267.46600000000001</v>
      </c>
      <c r="E216" s="45">
        <v>812.32899999999995</v>
      </c>
      <c r="F216" s="39">
        <v>1274</v>
      </c>
      <c r="G216" s="39">
        <v>50</v>
      </c>
      <c r="H216" s="47">
        <v>600</v>
      </c>
      <c r="I216" s="39">
        <v>695</v>
      </c>
      <c r="J216" s="39">
        <v>0</v>
      </c>
      <c r="K216" s="40"/>
      <c r="L216" s="40"/>
      <c r="M216" s="40"/>
      <c r="N216" s="40"/>
      <c r="O216" s="40"/>
      <c r="P216" s="40"/>
      <c r="Q216" s="40"/>
      <c r="R216" s="40"/>
      <c r="S216" s="40"/>
      <c r="T216" s="40"/>
    </row>
    <row r="217" spans="1:20" ht="15.75">
      <c r="A217" s="13">
        <v>47727</v>
      </c>
      <c r="B217" s="48">
        <v>30</v>
      </c>
      <c r="C217" s="39">
        <v>194.20500000000001</v>
      </c>
      <c r="D217" s="39">
        <v>267.46600000000001</v>
      </c>
      <c r="E217" s="45">
        <v>812.32899999999995</v>
      </c>
      <c r="F217" s="39">
        <v>1274</v>
      </c>
      <c r="G217" s="39">
        <v>50</v>
      </c>
      <c r="H217" s="47">
        <v>600</v>
      </c>
      <c r="I217" s="39">
        <v>695</v>
      </c>
      <c r="J217" s="39">
        <v>0</v>
      </c>
      <c r="K217" s="40"/>
      <c r="L217" s="40"/>
      <c r="M217" s="40"/>
      <c r="N217" s="40"/>
      <c r="O217" s="40"/>
      <c r="P217" s="40"/>
      <c r="Q217" s="40"/>
      <c r="R217" s="40"/>
      <c r="S217" s="40"/>
      <c r="T217" s="40"/>
    </row>
    <row r="218" spans="1:20" ht="15.75">
      <c r="A218" s="13">
        <v>47757</v>
      </c>
      <c r="B218" s="48">
        <v>31</v>
      </c>
      <c r="C218" s="39">
        <v>131.881</v>
      </c>
      <c r="D218" s="39">
        <v>277.16699999999997</v>
      </c>
      <c r="E218" s="45">
        <v>829.952</v>
      </c>
      <c r="F218" s="39">
        <v>1239</v>
      </c>
      <c r="G218" s="39">
        <v>75</v>
      </c>
      <c r="H218" s="47">
        <v>600</v>
      </c>
      <c r="I218" s="39">
        <v>695</v>
      </c>
      <c r="J218" s="39">
        <v>0</v>
      </c>
      <c r="K218" s="40"/>
      <c r="L218" s="40"/>
      <c r="M218" s="40"/>
      <c r="N218" s="40"/>
      <c r="O218" s="40"/>
      <c r="P218" s="40"/>
      <c r="Q218" s="40"/>
      <c r="R218" s="40"/>
      <c r="S218" s="40"/>
      <c r="T218" s="40"/>
    </row>
    <row r="219" spans="1:20" ht="15.75">
      <c r="A219" s="13">
        <v>47788</v>
      </c>
      <c r="B219" s="48">
        <v>30</v>
      </c>
      <c r="C219" s="39">
        <v>122.58</v>
      </c>
      <c r="D219" s="39">
        <v>297.94099999999997</v>
      </c>
      <c r="E219" s="45">
        <v>729.47900000000004</v>
      </c>
      <c r="F219" s="39">
        <v>1150</v>
      </c>
      <c r="G219" s="39">
        <v>100</v>
      </c>
      <c r="H219" s="47">
        <v>600</v>
      </c>
      <c r="I219" s="39">
        <v>695</v>
      </c>
      <c r="J219" s="39">
        <v>50</v>
      </c>
      <c r="K219" s="40"/>
      <c r="L219" s="40"/>
      <c r="M219" s="40"/>
      <c r="N219" s="40"/>
      <c r="O219" s="40"/>
      <c r="P219" s="40"/>
      <c r="Q219" s="40"/>
      <c r="R219" s="40"/>
      <c r="S219" s="40"/>
      <c r="T219" s="40"/>
    </row>
    <row r="220" spans="1:20" ht="15.75">
      <c r="A220" s="13">
        <v>47818</v>
      </c>
      <c r="B220" s="48">
        <v>31</v>
      </c>
      <c r="C220" s="39">
        <v>122.58</v>
      </c>
      <c r="D220" s="39">
        <v>297.94099999999997</v>
      </c>
      <c r="E220" s="45">
        <v>729.47900000000004</v>
      </c>
      <c r="F220" s="39">
        <v>1150</v>
      </c>
      <c r="G220" s="39">
        <v>100</v>
      </c>
      <c r="H220" s="47">
        <v>600</v>
      </c>
      <c r="I220" s="39">
        <v>695</v>
      </c>
      <c r="J220" s="39">
        <v>50</v>
      </c>
      <c r="K220" s="40"/>
      <c r="L220" s="40"/>
      <c r="M220" s="40"/>
      <c r="N220" s="40"/>
      <c r="O220" s="40"/>
      <c r="P220" s="40"/>
      <c r="Q220" s="40"/>
      <c r="R220" s="40"/>
      <c r="S220" s="40"/>
      <c r="T220" s="40"/>
    </row>
    <row r="221" spans="1:20" ht="15.75">
      <c r="A221" s="13">
        <v>47849</v>
      </c>
      <c r="B221" s="48">
        <v>31</v>
      </c>
      <c r="C221" s="39">
        <v>122.58</v>
      </c>
      <c r="D221" s="39">
        <v>297.94099999999997</v>
      </c>
      <c r="E221" s="45">
        <v>729.47900000000004</v>
      </c>
      <c r="F221" s="39">
        <v>1150</v>
      </c>
      <c r="G221" s="39">
        <v>100</v>
      </c>
      <c r="H221" s="47">
        <v>600</v>
      </c>
      <c r="I221" s="39">
        <v>695</v>
      </c>
      <c r="J221" s="39">
        <v>50</v>
      </c>
      <c r="K221" s="40"/>
      <c r="L221" s="40"/>
      <c r="M221" s="40"/>
      <c r="N221" s="40"/>
      <c r="O221" s="40"/>
      <c r="P221" s="40"/>
      <c r="Q221" s="40"/>
      <c r="R221" s="40"/>
      <c r="S221" s="40"/>
      <c r="T221" s="40"/>
    </row>
    <row r="222" spans="1:20" ht="15.75">
      <c r="A222" s="13">
        <v>47880</v>
      </c>
      <c r="B222" s="48">
        <v>28</v>
      </c>
      <c r="C222" s="39">
        <v>122.58</v>
      </c>
      <c r="D222" s="39">
        <v>297.94099999999997</v>
      </c>
      <c r="E222" s="45">
        <v>729.47900000000004</v>
      </c>
      <c r="F222" s="39">
        <v>1150</v>
      </c>
      <c r="G222" s="39">
        <v>100</v>
      </c>
      <c r="H222" s="47">
        <v>600</v>
      </c>
      <c r="I222" s="39">
        <v>695</v>
      </c>
      <c r="J222" s="39">
        <v>50</v>
      </c>
      <c r="K222" s="40"/>
      <c r="L222" s="40"/>
      <c r="M222" s="40"/>
      <c r="N222" s="40"/>
      <c r="O222" s="40"/>
      <c r="P222" s="40"/>
      <c r="Q222" s="40"/>
      <c r="R222" s="40"/>
      <c r="S222" s="40"/>
      <c r="T222" s="40"/>
    </row>
    <row r="223" spans="1:20" ht="15.75">
      <c r="A223" s="13">
        <v>47908</v>
      </c>
      <c r="B223" s="48">
        <v>31</v>
      </c>
      <c r="C223" s="39">
        <v>122.58</v>
      </c>
      <c r="D223" s="39">
        <v>297.94099999999997</v>
      </c>
      <c r="E223" s="45">
        <v>729.47900000000004</v>
      </c>
      <c r="F223" s="39">
        <v>1150</v>
      </c>
      <c r="G223" s="39">
        <v>100</v>
      </c>
      <c r="H223" s="47">
        <v>600</v>
      </c>
      <c r="I223" s="39">
        <v>695</v>
      </c>
      <c r="J223" s="39">
        <v>50</v>
      </c>
      <c r="K223" s="40"/>
      <c r="L223" s="40"/>
      <c r="M223" s="40"/>
      <c r="N223" s="40"/>
      <c r="O223" s="40"/>
      <c r="P223" s="40"/>
      <c r="Q223" s="40"/>
      <c r="R223" s="40"/>
      <c r="S223" s="40"/>
      <c r="T223" s="40"/>
    </row>
    <row r="224" spans="1:20" ht="15.75">
      <c r="A224" s="13">
        <v>47939</v>
      </c>
      <c r="B224" s="48">
        <v>30</v>
      </c>
      <c r="C224" s="39">
        <v>141.29300000000001</v>
      </c>
      <c r="D224" s="39">
        <v>267.99299999999999</v>
      </c>
      <c r="E224" s="45">
        <v>829.71400000000006</v>
      </c>
      <c r="F224" s="39">
        <v>1239</v>
      </c>
      <c r="G224" s="39">
        <v>100</v>
      </c>
      <c r="H224" s="47">
        <v>600</v>
      </c>
      <c r="I224" s="39">
        <v>695</v>
      </c>
      <c r="J224" s="39">
        <v>50</v>
      </c>
      <c r="K224" s="40"/>
      <c r="L224" s="40"/>
      <c r="M224" s="40"/>
      <c r="N224" s="40"/>
      <c r="O224" s="40"/>
      <c r="P224" s="40"/>
      <c r="Q224" s="40"/>
      <c r="R224" s="40"/>
      <c r="S224" s="40"/>
      <c r="T224" s="40"/>
    </row>
    <row r="225" spans="1:20" ht="15.75">
      <c r="A225" s="13">
        <v>47969</v>
      </c>
      <c r="B225" s="48">
        <v>31</v>
      </c>
      <c r="C225" s="39">
        <v>194.20500000000001</v>
      </c>
      <c r="D225" s="39">
        <v>267.46600000000001</v>
      </c>
      <c r="E225" s="45">
        <v>812.32899999999995</v>
      </c>
      <c r="F225" s="39">
        <v>1274</v>
      </c>
      <c r="G225" s="39">
        <v>75</v>
      </c>
      <c r="H225" s="47">
        <v>600</v>
      </c>
      <c r="I225" s="39">
        <v>695</v>
      </c>
      <c r="J225" s="39">
        <v>50</v>
      </c>
      <c r="K225" s="40"/>
      <c r="L225" s="40"/>
      <c r="M225" s="40"/>
      <c r="N225" s="40"/>
      <c r="O225" s="40"/>
      <c r="P225" s="40"/>
      <c r="Q225" s="40"/>
      <c r="R225" s="40"/>
      <c r="S225" s="40"/>
      <c r="T225" s="40"/>
    </row>
    <row r="226" spans="1:20" ht="15.75">
      <c r="A226" s="13">
        <v>48000</v>
      </c>
      <c r="B226" s="48">
        <v>30</v>
      </c>
      <c r="C226" s="39">
        <v>194.20500000000001</v>
      </c>
      <c r="D226" s="39">
        <v>267.46600000000001</v>
      </c>
      <c r="E226" s="45">
        <v>812.32899999999995</v>
      </c>
      <c r="F226" s="39">
        <v>1274</v>
      </c>
      <c r="G226" s="39">
        <v>50</v>
      </c>
      <c r="H226" s="47">
        <v>600</v>
      </c>
      <c r="I226" s="39">
        <v>695</v>
      </c>
      <c r="J226" s="39">
        <v>50</v>
      </c>
      <c r="K226" s="40"/>
      <c r="L226" s="40"/>
      <c r="M226" s="40"/>
      <c r="N226" s="40"/>
      <c r="O226" s="40"/>
      <c r="P226" s="40"/>
      <c r="Q226" s="40"/>
      <c r="R226" s="40"/>
      <c r="S226" s="40"/>
      <c r="T226" s="40"/>
    </row>
    <row r="227" spans="1:20" ht="15.75">
      <c r="A227" s="13">
        <v>48030</v>
      </c>
      <c r="B227" s="48">
        <v>31</v>
      </c>
      <c r="C227" s="39">
        <v>194.20500000000001</v>
      </c>
      <c r="D227" s="39">
        <v>267.46600000000001</v>
      </c>
      <c r="E227" s="45">
        <v>812.32899999999995</v>
      </c>
      <c r="F227" s="39">
        <v>1274</v>
      </c>
      <c r="G227" s="39">
        <v>50</v>
      </c>
      <c r="H227" s="47">
        <v>600</v>
      </c>
      <c r="I227" s="39">
        <v>695</v>
      </c>
      <c r="J227" s="39">
        <v>0</v>
      </c>
      <c r="K227" s="40"/>
      <c r="L227" s="40"/>
      <c r="M227" s="40"/>
      <c r="N227" s="40"/>
      <c r="O227" s="40"/>
      <c r="P227" s="40"/>
      <c r="Q227" s="40"/>
      <c r="R227" s="40"/>
      <c r="S227" s="40"/>
      <c r="T227" s="40"/>
    </row>
    <row r="228" spans="1:20" ht="15.75">
      <c r="A228" s="13">
        <v>48061</v>
      </c>
      <c r="B228" s="48">
        <v>31</v>
      </c>
      <c r="C228" s="39">
        <v>194.20500000000001</v>
      </c>
      <c r="D228" s="39">
        <v>267.46600000000001</v>
      </c>
      <c r="E228" s="45">
        <v>812.32899999999995</v>
      </c>
      <c r="F228" s="39">
        <v>1274</v>
      </c>
      <c r="G228" s="39">
        <v>50</v>
      </c>
      <c r="H228" s="47">
        <v>600</v>
      </c>
      <c r="I228" s="39">
        <v>695</v>
      </c>
      <c r="J228" s="39">
        <v>0</v>
      </c>
      <c r="K228" s="40"/>
      <c r="L228" s="40"/>
      <c r="M228" s="40"/>
      <c r="N228" s="40"/>
      <c r="O228" s="40"/>
      <c r="P228" s="40"/>
      <c r="Q228" s="40"/>
      <c r="R228" s="40"/>
      <c r="S228" s="40"/>
      <c r="T228" s="40"/>
    </row>
    <row r="229" spans="1:20" ht="15.75">
      <c r="A229" s="13">
        <v>48092</v>
      </c>
      <c r="B229" s="48">
        <v>30</v>
      </c>
      <c r="C229" s="39">
        <v>194.20500000000001</v>
      </c>
      <c r="D229" s="39">
        <v>267.46600000000001</v>
      </c>
      <c r="E229" s="45">
        <v>812.32899999999995</v>
      </c>
      <c r="F229" s="39">
        <v>1274</v>
      </c>
      <c r="G229" s="39">
        <v>50</v>
      </c>
      <c r="H229" s="47">
        <v>600</v>
      </c>
      <c r="I229" s="39">
        <v>695</v>
      </c>
      <c r="J229" s="39">
        <v>0</v>
      </c>
      <c r="K229" s="40"/>
      <c r="L229" s="40"/>
      <c r="M229" s="40"/>
      <c r="N229" s="40"/>
      <c r="O229" s="40"/>
      <c r="P229" s="40"/>
      <c r="Q229" s="40"/>
      <c r="R229" s="40"/>
      <c r="S229" s="40"/>
      <c r="T229" s="40"/>
    </row>
    <row r="230" spans="1:20" ht="15.75">
      <c r="A230" s="13">
        <v>48122</v>
      </c>
      <c r="B230" s="48">
        <v>31</v>
      </c>
      <c r="C230" s="39">
        <v>131.881</v>
      </c>
      <c r="D230" s="39">
        <v>277.16699999999997</v>
      </c>
      <c r="E230" s="45">
        <v>829.952</v>
      </c>
      <c r="F230" s="39">
        <v>1239</v>
      </c>
      <c r="G230" s="39">
        <v>75</v>
      </c>
      <c r="H230" s="47">
        <v>600</v>
      </c>
      <c r="I230" s="39">
        <v>695</v>
      </c>
      <c r="J230" s="39">
        <v>0</v>
      </c>
      <c r="K230" s="40"/>
      <c r="L230" s="40"/>
      <c r="M230" s="40"/>
      <c r="N230" s="40"/>
      <c r="O230" s="40"/>
      <c r="P230" s="40"/>
      <c r="Q230" s="40"/>
      <c r="R230" s="40"/>
      <c r="S230" s="40"/>
      <c r="T230" s="40"/>
    </row>
    <row r="231" spans="1:20" ht="15.75">
      <c r="A231" s="13">
        <v>48153</v>
      </c>
      <c r="B231" s="48">
        <v>30</v>
      </c>
      <c r="C231" s="39">
        <v>122.58</v>
      </c>
      <c r="D231" s="39">
        <v>297.94099999999997</v>
      </c>
      <c r="E231" s="45">
        <v>729.47900000000004</v>
      </c>
      <c r="F231" s="39">
        <v>1150</v>
      </c>
      <c r="G231" s="39">
        <v>100</v>
      </c>
      <c r="H231" s="47">
        <v>600</v>
      </c>
      <c r="I231" s="39">
        <v>695</v>
      </c>
      <c r="J231" s="39">
        <v>50</v>
      </c>
      <c r="K231" s="40"/>
      <c r="L231" s="40"/>
      <c r="M231" s="40"/>
      <c r="N231" s="40"/>
      <c r="O231" s="40"/>
      <c r="P231" s="40"/>
      <c r="Q231" s="40"/>
      <c r="R231" s="40"/>
      <c r="S231" s="40"/>
      <c r="T231" s="40"/>
    </row>
    <row r="232" spans="1:20" ht="15.75">
      <c r="A232" s="13">
        <v>48183</v>
      </c>
      <c r="B232" s="48">
        <v>31</v>
      </c>
      <c r="C232" s="39">
        <v>122.58</v>
      </c>
      <c r="D232" s="39">
        <v>297.94099999999997</v>
      </c>
      <c r="E232" s="45">
        <v>729.47900000000004</v>
      </c>
      <c r="F232" s="39">
        <v>1150</v>
      </c>
      <c r="G232" s="39">
        <v>100</v>
      </c>
      <c r="H232" s="47">
        <v>600</v>
      </c>
      <c r="I232" s="39">
        <v>695</v>
      </c>
      <c r="J232" s="39">
        <v>50</v>
      </c>
      <c r="K232" s="40"/>
      <c r="L232" s="40"/>
      <c r="M232" s="40"/>
      <c r="N232" s="40"/>
      <c r="O232" s="40"/>
      <c r="P232" s="40"/>
      <c r="Q232" s="40"/>
      <c r="R232" s="40"/>
      <c r="S232" s="40"/>
      <c r="T232" s="40"/>
    </row>
    <row r="233" spans="1:20" ht="15.75">
      <c r="A233" s="13">
        <v>48214</v>
      </c>
      <c r="B233" s="48">
        <v>31</v>
      </c>
      <c r="C233" s="39">
        <v>122.58</v>
      </c>
      <c r="D233" s="39">
        <v>297.94099999999997</v>
      </c>
      <c r="E233" s="45">
        <v>729.47900000000004</v>
      </c>
      <c r="F233" s="39">
        <v>1150</v>
      </c>
      <c r="G233" s="39">
        <v>100</v>
      </c>
      <c r="H233" s="47">
        <v>600</v>
      </c>
      <c r="I233" s="39">
        <v>695</v>
      </c>
      <c r="J233" s="39">
        <v>50</v>
      </c>
      <c r="K233" s="40"/>
      <c r="L233" s="40"/>
      <c r="M233" s="40"/>
      <c r="N233" s="40"/>
      <c r="O233" s="40"/>
      <c r="P233" s="40"/>
      <c r="Q233" s="40"/>
      <c r="R233" s="40"/>
      <c r="S233" s="40"/>
      <c r="T233" s="40"/>
    </row>
    <row r="234" spans="1:20" ht="15.75">
      <c r="A234" s="13">
        <v>48245</v>
      </c>
      <c r="B234" s="48">
        <v>29</v>
      </c>
      <c r="C234" s="39">
        <v>122.58</v>
      </c>
      <c r="D234" s="39">
        <v>297.94099999999997</v>
      </c>
      <c r="E234" s="45">
        <v>729.47900000000004</v>
      </c>
      <c r="F234" s="39">
        <v>1150</v>
      </c>
      <c r="G234" s="39">
        <v>100</v>
      </c>
      <c r="H234" s="47">
        <v>600</v>
      </c>
      <c r="I234" s="39">
        <v>695</v>
      </c>
      <c r="J234" s="39">
        <v>50</v>
      </c>
      <c r="K234" s="40"/>
      <c r="L234" s="40"/>
      <c r="M234" s="40"/>
      <c r="N234" s="40"/>
      <c r="O234" s="40"/>
      <c r="P234" s="40"/>
      <c r="Q234" s="40"/>
      <c r="R234" s="40"/>
      <c r="S234" s="40"/>
      <c r="T234" s="40"/>
    </row>
    <row r="235" spans="1:20" ht="15.75">
      <c r="A235" s="13">
        <v>48274</v>
      </c>
      <c r="B235" s="48">
        <v>31</v>
      </c>
      <c r="C235" s="39">
        <v>122.58</v>
      </c>
      <c r="D235" s="39">
        <v>297.94099999999997</v>
      </c>
      <c r="E235" s="45">
        <v>729.47900000000004</v>
      </c>
      <c r="F235" s="39">
        <v>1150</v>
      </c>
      <c r="G235" s="39">
        <v>100</v>
      </c>
      <c r="H235" s="47">
        <v>600</v>
      </c>
      <c r="I235" s="39">
        <v>695</v>
      </c>
      <c r="J235" s="39">
        <v>50</v>
      </c>
      <c r="K235" s="40"/>
      <c r="L235" s="40"/>
      <c r="M235" s="40"/>
      <c r="N235" s="40"/>
      <c r="O235" s="40"/>
      <c r="P235" s="40"/>
      <c r="Q235" s="40"/>
      <c r="R235" s="40"/>
      <c r="S235" s="40"/>
      <c r="T235" s="40"/>
    </row>
    <row r="236" spans="1:20" ht="15.75">
      <c r="A236" s="13">
        <v>48305</v>
      </c>
      <c r="B236" s="48">
        <v>30</v>
      </c>
      <c r="C236" s="39">
        <v>141.29300000000001</v>
      </c>
      <c r="D236" s="39">
        <v>267.99299999999999</v>
      </c>
      <c r="E236" s="45">
        <v>829.71400000000006</v>
      </c>
      <c r="F236" s="39">
        <v>1239</v>
      </c>
      <c r="G236" s="39">
        <v>100</v>
      </c>
      <c r="H236" s="47">
        <v>600</v>
      </c>
      <c r="I236" s="39">
        <v>695</v>
      </c>
      <c r="J236" s="39">
        <v>50</v>
      </c>
      <c r="K236" s="40"/>
      <c r="L236" s="40"/>
      <c r="M236" s="40"/>
      <c r="N236" s="40"/>
      <c r="O236" s="40"/>
      <c r="P236" s="40"/>
      <c r="Q236" s="40"/>
      <c r="R236" s="40"/>
      <c r="S236" s="40"/>
      <c r="T236" s="40"/>
    </row>
    <row r="237" spans="1:20" ht="15.75">
      <c r="A237" s="13">
        <v>48335</v>
      </c>
      <c r="B237" s="48">
        <v>31</v>
      </c>
      <c r="C237" s="39">
        <v>194.20500000000001</v>
      </c>
      <c r="D237" s="39">
        <v>267.46600000000001</v>
      </c>
      <c r="E237" s="45">
        <v>812.32899999999995</v>
      </c>
      <c r="F237" s="39">
        <v>1274</v>
      </c>
      <c r="G237" s="39">
        <v>75</v>
      </c>
      <c r="H237" s="47">
        <v>600</v>
      </c>
      <c r="I237" s="39">
        <v>695</v>
      </c>
      <c r="J237" s="39">
        <v>50</v>
      </c>
      <c r="K237" s="40"/>
      <c r="L237" s="40"/>
      <c r="M237" s="40"/>
      <c r="N237" s="40"/>
      <c r="O237" s="40"/>
      <c r="P237" s="40"/>
      <c r="Q237" s="40"/>
      <c r="R237" s="40"/>
      <c r="S237" s="40"/>
      <c r="T237" s="40"/>
    </row>
    <row r="238" spans="1:20" ht="15.75">
      <c r="A238" s="13">
        <v>48366</v>
      </c>
      <c r="B238" s="48">
        <v>30</v>
      </c>
      <c r="C238" s="39">
        <v>194.20500000000001</v>
      </c>
      <c r="D238" s="39">
        <v>267.46600000000001</v>
      </c>
      <c r="E238" s="45">
        <v>812.32899999999995</v>
      </c>
      <c r="F238" s="39">
        <v>1274</v>
      </c>
      <c r="G238" s="39">
        <v>50</v>
      </c>
      <c r="H238" s="47">
        <v>600</v>
      </c>
      <c r="I238" s="39">
        <v>695</v>
      </c>
      <c r="J238" s="39">
        <v>50</v>
      </c>
      <c r="K238" s="40"/>
      <c r="L238" s="40"/>
      <c r="M238" s="40"/>
      <c r="N238" s="40"/>
      <c r="O238" s="40"/>
      <c r="P238" s="40"/>
      <c r="Q238" s="40"/>
      <c r="R238" s="40"/>
      <c r="S238" s="40"/>
      <c r="T238" s="40"/>
    </row>
    <row r="239" spans="1:20" ht="15.75">
      <c r="A239" s="13">
        <v>48396</v>
      </c>
      <c r="B239" s="48">
        <v>31</v>
      </c>
      <c r="C239" s="39">
        <v>194.20500000000001</v>
      </c>
      <c r="D239" s="39">
        <v>267.46600000000001</v>
      </c>
      <c r="E239" s="45">
        <v>812.32899999999995</v>
      </c>
      <c r="F239" s="39">
        <v>1274</v>
      </c>
      <c r="G239" s="39">
        <v>50</v>
      </c>
      <c r="H239" s="47">
        <v>600</v>
      </c>
      <c r="I239" s="39">
        <v>695</v>
      </c>
      <c r="J239" s="39">
        <v>0</v>
      </c>
      <c r="K239" s="40"/>
      <c r="L239" s="40"/>
      <c r="M239" s="40"/>
      <c r="N239" s="40"/>
      <c r="O239" s="40"/>
      <c r="P239" s="40"/>
      <c r="Q239" s="40"/>
      <c r="R239" s="40"/>
      <c r="S239" s="40"/>
      <c r="T239" s="40"/>
    </row>
    <row r="240" spans="1:20" ht="15.75">
      <c r="A240" s="13">
        <v>48427</v>
      </c>
      <c r="B240" s="48">
        <v>31</v>
      </c>
      <c r="C240" s="39">
        <v>194.20500000000001</v>
      </c>
      <c r="D240" s="39">
        <v>267.46600000000001</v>
      </c>
      <c r="E240" s="45">
        <v>812.32899999999995</v>
      </c>
      <c r="F240" s="39">
        <v>1274</v>
      </c>
      <c r="G240" s="39">
        <v>50</v>
      </c>
      <c r="H240" s="47">
        <v>600</v>
      </c>
      <c r="I240" s="39">
        <v>695</v>
      </c>
      <c r="J240" s="39">
        <v>0</v>
      </c>
      <c r="K240" s="40"/>
      <c r="L240" s="40"/>
      <c r="M240" s="40"/>
      <c r="N240" s="40"/>
      <c r="O240" s="40"/>
      <c r="P240" s="40"/>
      <c r="Q240" s="40"/>
      <c r="R240" s="40"/>
      <c r="S240" s="40"/>
      <c r="T240" s="40"/>
    </row>
    <row r="241" spans="1:20" ht="15.75">
      <c r="A241" s="13">
        <v>48458</v>
      </c>
      <c r="B241" s="48">
        <v>30</v>
      </c>
      <c r="C241" s="39">
        <v>194.20500000000001</v>
      </c>
      <c r="D241" s="39">
        <v>267.46600000000001</v>
      </c>
      <c r="E241" s="45">
        <v>812.32899999999995</v>
      </c>
      <c r="F241" s="39">
        <v>1274</v>
      </c>
      <c r="G241" s="39">
        <v>50</v>
      </c>
      <c r="H241" s="47">
        <v>600</v>
      </c>
      <c r="I241" s="39">
        <v>695</v>
      </c>
      <c r="J241" s="39">
        <v>0</v>
      </c>
      <c r="K241" s="40"/>
      <c r="L241" s="40"/>
      <c r="M241" s="40"/>
      <c r="N241" s="40"/>
      <c r="O241" s="40"/>
      <c r="P241" s="40"/>
      <c r="Q241" s="40"/>
      <c r="R241" s="40"/>
      <c r="S241" s="40"/>
      <c r="T241" s="40"/>
    </row>
    <row r="242" spans="1:20" ht="15.75">
      <c r="A242" s="13">
        <v>48488</v>
      </c>
      <c r="B242" s="48">
        <v>31</v>
      </c>
      <c r="C242" s="39">
        <v>131.881</v>
      </c>
      <c r="D242" s="39">
        <v>277.16699999999997</v>
      </c>
      <c r="E242" s="45">
        <v>829.952</v>
      </c>
      <c r="F242" s="39">
        <v>1239</v>
      </c>
      <c r="G242" s="39">
        <v>75</v>
      </c>
      <c r="H242" s="47">
        <v>600</v>
      </c>
      <c r="I242" s="39">
        <v>695</v>
      </c>
      <c r="J242" s="39">
        <v>0</v>
      </c>
      <c r="K242" s="40"/>
      <c r="L242" s="40"/>
      <c r="M242" s="40"/>
      <c r="N242" s="40"/>
      <c r="O242" s="40"/>
      <c r="P242" s="40"/>
      <c r="Q242" s="40"/>
      <c r="R242" s="40"/>
      <c r="S242" s="40"/>
      <c r="T242" s="40"/>
    </row>
    <row r="243" spans="1:20" ht="15.75">
      <c r="A243" s="13">
        <v>48519</v>
      </c>
      <c r="B243" s="48">
        <v>30</v>
      </c>
      <c r="C243" s="39">
        <v>122.58</v>
      </c>
      <c r="D243" s="39">
        <v>297.94099999999997</v>
      </c>
      <c r="E243" s="45">
        <v>729.47900000000004</v>
      </c>
      <c r="F243" s="39">
        <v>1150</v>
      </c>
      <c r="G243" s="39">
        <v>100</v>
      </c>
      <c r="H243" s="47">
        <v>600</v>
      </c>
      <c r="I243" s="39">
        <v>695</v>
      </c>
      <c r="J243" s="39">
        <v>50</v>
      </c>
      <c r="K243" s="40"/>
      <c r="L243" s="40"/>
      <c r="M243" s="40"/>
      <c r="N243" s="40"/>
      <c r="O243" s="40"/>
      <c r="P243" s="40"/>
      <c r="Q243" s="40"/>
      <c r="R243" s="40"/>
      <c r="S243" s="40"/>
      <c r="T243" s="40"/>
    </row>
    <row r="244" spans="1:20" ht="15.75">
      <c r="A244" s="13">
        <v>48549</v>
      </c>
      <c r="B244" s="48">
        <v>31</v>
      </c>
      <c r="C244" s="39">
        <v>122.58</v>
      </c>
      <c r="D244" s="39">
        <v>297.94099999999997</v>
      </c>
      <c r="E244" s="45">
        <v>729.47900000000004</v>
      </c>
      <c r="F244" s="39">
        <v>1150</v>
      </c>
      <c r="G244" s="39">
        <v>100</v>
      </c>
      <c r="H244" s="47">
        <v>600</v>
      </c>
      <c r="I244" s="39">
        <v>695</v>
      </c>
      <c r="J244" s="39">
        <v>50</v>
      </c>
      <c r="K244" s="40"/>
      <c r="L244" s="40"/>
      <c r="M244" s="40"/>
      <c r="N244" s="40"/>
      <c r="O244" s="40"/>
      <c r="P244" s="40"/>
      <c r="Q244" s="40"/>
      <c r="R244" s="40"/>
      <c r="S244" s="40"/>
      <c r="T244" s="40"/>
    </row>
    <row r="245" spans="1:20" ht="15.75">
      <c r="A245" s="13">
        <v>48580</v>
      </c>
      <c r="B245" s="48">
        <v>31</v>
      </c>
      <c r="C245" s="39">
        <v>122.58</v>
      </c>
      <c r="D245" s="39">
        <v>297.94099999999997</v>
      </c>
      <c r="E245" s="45">
        <v>729.47900000000004</v>
      </c>
      <c r="F245" s="39">
        <v>1150</v>
      </c>
      <c r="G245" s="39">
        <v>100</v>
      </c>
      <c r="H245" s="47">
        <v>600</v>
      </c>
      <c r="I245" s="39">
        <v>695</v>
      </c>
      <c r="J245" s="39">
        <v>50</v>
      </c>
      <c r="K245" s="40"/>
      <c r="L245" s="40"/>
      <c r="M245" s="40"/>
      <c r="N245" s="40"/>
      <c r="O245" s="40"/>
      <c r="P245" s="40"/>
      <c r="Q245" s="40"/>
      <c r="R245" s="40"/>
      <c r="S245" s="40"/>
      <c r="T245" s="40"/>
    </row>
    <row r="246" spans="1:20" ht="15.75">
      <c r="A246" s="13">
        <v>48611</v>
      </c>
      <c r="B246" s="48">
        <v>28</v>
      </c>
      <c r="C246" s="39">
        <v>122.58</v>
      </c>
      <c r="D246" s="39">
        <v>297.94099999999997</v>
      </c>
      <c r="E246" s="45">
        <v>729.47900000000004</v>
      </c>
      <c r="F246" s="39">
        <v>1150</v>
      </c>
      <c r="G246" s="39">
        <v>100</v>
      </c>
      <c r="H246" s="47">
        <v>600</v>
      </c>
      <c r="I246" s="39">
        <v>695</v>
      </c>
      <c r="J246" s="39">
        <v>50</v>
      </c>
      <c r="K246" s="40"/>
      <c r="L246" s="40"/>
      <c r="M246" s="40"/>
      <c r="N246" s="40"/>
      <c r="O246" s="40"/>
      <c r="P246" s="40"/>
      <c r="Q246" s="40"/>
      <c r="R246" s="40"/>
      <c r="S246" s="40"/>
      <c r="T246" s="40"/>
    </row>
    <row r="247" spans="1:20" ht="15.75">
      <c r="A247" s="13">
        <v>48639</v>
      </c>
      <c r="B247" s="48">
        <v>31</v>
      </c>
      <c r="C247" s="39">
        <v>122.58</v>
      </c>
      <c r="D247" s="39">
        <v>297.94099999999997</v>
      </c>
      <c r="E247" s="45">
        <v>729.47900000000004</v>
      </c>
      <c r="F247" s="39">
        <v>1150</v>
      </c>
      <c r="G247" s="39">
        <v>100</v>
      </c>
      <c r="H247" s="47">
        <v>600</v>
      </c>
      <c r="I247" s="39">
        <v>695</v>
      </c>
      <c r="J247" s="39">
        <v>50</v>
      </c>
      <c r="K247" s="40"/>
      <c r="L247" s="40"/>
      <c r="M247" s="40"/>
      <c r="N247" s="40"/>
      <c r="O247" s="40"/>
      <c r="P247" s="40"/>
      <c r="Q247" s="40"/>
      <c r="R247" s="40"/>
      <c r="S247" s="40"/>
      <c r="T247" s="40"/>
    </row>
    <row r="248" spans="1:20" ht="15.75">
      <c r="A248" s="13">
        <v>48670</v>
      </c>
      <c r="B248" s="48">
        <v>30</v>
      </c>
      <c r="C248" s="39">
        <v>141.29300000000001</v>
      </c>
      <c r="D248" s="39">
        <v>267.99299999999999</v>
      </c>
      <c r="E248" s="45">
        <v>829.71400000000006</v>
      </c>
      <c r="F248" s="39">
        <v>1239</v>
      </c>
      <c r="G248" s="39">
        <v>100</v>
      </c>
      <c r="H248" s="47">
        <v>600</v>
      </c>
      <c r="I248" s="39">
        <v>695</v>
      </c>
      <c r="J248" s="39">
        <v>50</v>
      </c>
      <c r="K248" s="40"/>
      <c r="L248" s="40"/>
      <c r="M248" s="40"/>
      <c r="N248" s="40"/>
      <c r="O248" s="40"/>
      <c r="P248" s="40"/>
      <c r="Q248" s="40"/>
      <c r="R248" s="40"/>
      <c r="S248" s="40"/>
      <c r="T248" s="40"/>
    </row>
    <row r="249" spans="1:20" ht="15.75">
      <c r="A249" s="13">
        <v>48700</v>
      </c>
      <c r="B249" s="48">
        <v>31</v>
      </c>
      <c r="C249" s="39">
        <v>194.20500000000001</v>
      </c>
      <c r="D249" s="39">
        <v>267.46600000000001</v>
      </c>
      <c r="E249" s="45">
        <v>812.32899999999995</v>
      </c>
      <c r="F249" s="39">
        <v>1274</v>
      </c>
      <c r="G249" s="39">
        <v>75</v>
      </c>
      <c r="H249" s="47">
        <v>600</v>
      </c>
      <c r="I249" s="39">
        <v>695</v>
      </c>
      <c r="J249" s="39">
        <v>50</v>
      </c>
      <c r="K249" s="40"/>
      <c r="L249" s="40"/>
      <c r="M249" s="40"/>
      <c r="N249" s="40"/>
      <c r="O249" s="40"/>
      <c r="P249" s="40"/>
      <c r="Q249" s="40"/>
      <c r="R249" s="40"/>
      <c r="S249" s="40"/>
      <c r="T249" s="40"/>
    </row>
    <row r="250" spans="1:20" ht="15.75">
      <c r="A250" s="13">
        <v>48731</v>
      </c>
      <c r="B250" s="48">
        <v>30</v>
      </c>
      <c r="C250" s="39">
        <v>194.20500000000001</v>
      </c>
      <c r="D250" s="39">
        <v>267.46600000000001</v>
      </c>
      <c r="E250" s="45">
        <v>812.32899999999995</v>
      </c>
      <c r="F250" s="39">
        <v>1274</v>
      </c>
      <c r="G250" s="39">
        <v>50</v>
      </c>
      <c r="H250" s="47">
        <v>600</v>
      </c>
      <c r="I250" s="39">
        <v>695</v>
      </c>
      <c r="J250" s="39">
        <v>50</v>
      </c>
      <c r="K250" s="40"/>
      <c r="L250" s="40"/>
      <c r="M250" s="40"/>
      <c r="N250" s="40"/>
      <c r="O250" s="40"/>
      <c r="P250" s="40"/>
      <c r="Q250" s="40"/>
      <c r="R250" s="40"/>
      <c r="S250" s="40"/>
      <c r="T250" s="40"/>
    </row>
    <row r="251" spans="1:20" ht="15.75">
      <c r="A251" s="13">
        <v>48761</v>
      </c>
      <c r="B251" s="48">
        <v>31</v>
      </c>
      <c r="C251" s="39">
        <v>194.20500000000001</v>
      </c>
      <c r="D251" s="39">
        <v>267.46600000000001</v>
      </c>
      <c r="E251" s="45">
        <v>812.32899999999995</v>
      </c>
      <c r="F251" s="39">
        <v>1274</v>
      </c>
      <c r="G251" s="39">
        <v>50</v>
      </c>
      <c r="H251" s="47">
        <v>600</v>
      </c>
      <c r="I251" s="39">
        <v>695</v>
      </c>
      <c r="J251" s="39">
        <v>0</v>
      </c>
      <c r="K251" s="40"/>
      <c r="L251" s="40"/>
      <c r="M251" s="40"/>
      <c r="N251" s="40"/>
      <c r="O251" s="40"/>
      <c r="P251" s="40"/>
      <c r="Q251" s="40"/>
      <c r="R251" s="40"/>
      <c r="S251" s="40"/>
      <c r="T251" s="40"/>
    </row>
    <row r="252" spans="1:20" ht="15.75">
      <c r="A252" s="13">
        <v>48792</v>
      </c>
      <c r="B252" s="48">
        <v>31</v>
      </c>
      <c r="C252" s="39">
        <v>194.20500000000001</v>
      </c>
      <c r="D252" s="39">
        <v>267.46600000000001</v>
      </c>
      <c r="E252" s="45">
        <v>812.32899999999995</v>
      </c>
      <c r="F252" s="39">
        <v>1274</v>
      </c>
      <c r="G252" s="39">
        <v>50</v>
      </c>
      <c r="H252" s="47">
        <v>600</v>
      </c>
      <c r="I252" s="39">
        <v>695</v>
      </c>
      <c r="J252" s="39">
        <v>0</v>
      </c>
      <c r="K252" s="40"/>
      <c r="L252" s="40"/>
      <c r="M252" s="40"/>
      <c r="N252" s="40"/>
      <c r="O252" s="40"/>
      <c r="P252" s="40"/>
      <c r="Q252" s="40"/>
      <c r="R252" s="40"/>
      <c r="S252" s="40"/>
      <c r="T252" s="40"/>
    </row>
    <row r="253" spans="1:20" ht="15.75">
      <c r="A253" s="13">
        <v>48823</v>
      </c>
      <c r="B253" s="48">
        <v>30</v>
      </c>
      <c r="C253" s="39">
        <v>194.20500000000001</v>
      </c>
      <c r="D253" s="39">
        <v>267.46600000000001</v>
      </c>
      <c r="E253" s="45">
        <v>812.32899999999995</v>
      </c>
      <c r="F253" s="39">
        <v>1274</v>
      </c>
      <c r="G253" s="39">
        <v>50</v>
      </c>
      <c r="H253" s="47">
        <v>600</v>
      </c>
      <c r="I253" s="39">
        <v>695</v>
      </c>
      <c r="J253" s="39">
        <v>0</v>
      </c>
      <c r="K253" s="40"/>
      <c r="L253" s="40"/>
      <c r="M253" s="40"/>
      <c r="N253" s="40"/>
      <c r="O253" s="40"/>
      <c r="P253" s="40"/>
      <c r="Q253" s="40"/>
      <c r="R253" s="40"/>
      <c r="S253" s="40"/>
      <c r="T253" s="40"/>
    </row>
    <row r="254" spans="1:20" ht="15.75">
      <c r="A254" s="13">
        <v>48853</v>
      </c>
      <c r="B254" s="48">
        <v>31</v>
      </c>
      <c r="C254" s="39">
        <v>131.881</v>
      </c>
      <c r="D254" s="39">
        <v>277.16699999999997</v>
      </c>
      <c r="E254" s="45">
        <v>829.952</v>
      </c>
      <c r="F254" s="39">
        <v>1239</v>
      </c>
      <c r="G254" s="39">
        <v>75</v>
      </c>
      <c r="H254" s="47">
        <v>600</v>
      </c>
      <c r="I254" s="39">
        <v>695</v>
      </c>
      <c r="J254" s="39">
        <v>0</v>
      </c>
      <c r="K254" s="40"/>
      <c r="L254" s="40"/>
      <c r="M254" s="40"/>
      <c r="N254" s="40"/>
      <c r="O254" s="40"/>
      <c r="P254" s="40"/>
      <c r="Q254" s="40"/>
      <c r="R254" s="40"/>
      <c r="S254" s="40"/>
      <c r="T254" s="40"/>
    </row>
    <row r="255" spans="1:20" ht="15.75">
      <c r="A255" s="13">
        <v>48884</v>
      </c>
      <c r="B255" s="48">
        <v>30</v>
      </c>
      <c r="C255" s="39">
        <v>122.58</v>
      </c>
      <c r="D255" s="39">
        <v>297.94099999999997</v>
      </c>
      <c r="E255" s="45">
        <v>729.47900000000004</v>
      </c>
      <c r="F255" s="39">
        <v>1150</v>
      </c>
      <c r="G255" s="39">
        <v>100</v>
      </c>
      <c r="H255" s="47">
        <v>600</v>
      </c>
      <c r="I255" s="39">
        <v>695</v>
      </c>
      <c r="J255" s="39">
        <v>50</v>
      </c>
      <c r="K255" s="40"/>
      <c r="L255" s="40"/>
      <c r="M255" s="40"/>
      <c r="N255" s="40"/>
      <c r="O255" s="40"/>
      <c r="P255" s="40"/>
      <c r="Q255" s="40"/>
      <c r="R255" s="40"/>
      <c r="S255" s="40"/>
      <c r="T255" s="40"/>
    </row>
    <row r="256" spans="1:20" ht="15.75">
      <c r="A256" s="13">
        <v>48914</v>
      </c>
      <c r="B256" s="48">
        <v>31</v>
      </c>
      <c r="C256" s="39">
        <v>122.58</v>
      </c>
      <c r="D256" s="39">
        <v>297.94099999999997</v>
      </c>
      <c r="E256" s="45">
        <v>729.47900000000004</v>
      </c>
      <c r="F256" s="39">
        <v>1150</v>
      </c>
      <c r="G256" s="39">
        <v>100</v>
      </c>
      <c r="H256" s="47">
        <v>600</v>
      </c>
      <c r="I256" s="39">
        <v>695</v>
      </c>
      <c r="J256" s="39">
        <v>50</v>
      </c>
      <c r="K256" s="40"/>
      <c r="L256" s="40"/>
      <c r="M256" s="40"/>
      <c r="N256" s="40"/>
      <c r="O256" s="40"/>
      <c r="P256" s="40"/>
      <c r="Q256" s="40"/>
      <c r="R256" s="40"/>
      <c r="S256" s="40"/>
      <c r="T256" s="40"/>
    </row>
    <row r="257" spans="1:20" ht="15.75">
      <c r="A257" s="13">
        <v>48945</v>
      </c>
      <c r="B257" s="48">
        <v>31</v>
      </c>
      <c r="C257" s="39">
        <v>122.58</v>
      </c>
      <c r="D257" s="39">
        <v>297.94099999999997</v>
      </c>
      <c r="E257" s="45">
        <v>729.47900000000004</v>
      </c>
      <c r="F257" s="39">
        <v>1150</v>
      </c>
      <c r="G257" s="39">
        <v>100</v>
      </c>
      <c r="H257" s="47">
        <v>600</v>
      </c>
      <c r="I257" s="39">
        <v>695</v>
      </c>
      <c r="J257" s="39">
        <v>50</v>
      </c>
      <c r="K257" s="40"/>
      <c r="L257" s="40"/>
      <c r="M257" s="40"/>
      <c r="N257" s="40"/>
      <c r="O257" s="40"/>
      <c r="P257" s="40"/>
      <c r="Q257" s="40"/>
      <c r="R257" s="40"/>
      <c r="S257" s="40"/>
      <c r="T257" s="40"/>
    </row>
    <row r="258" spans="1:20" ht="15.75">
      <c r="A258" s="13">
        <v>48976</v>
      </c>
      <c r="B258" s="48">
        <v>28</v>
      </c>
      <c r="C258" s="39">
        <v>122.58</v>
      </c>
      <c r="D258" s="39">
        <v>297.94099999999997</v>
      </c>
      <c r="E258" s="45">
        <v>729.47900000000004</v>
      </c>
      <c r="F258" s="39">
        <v>1150</v>
      </c>
      <c r="G258" s="39">
        <v>100</v>
      </c>
      <c r="H258" s="47">
        <v>600</v>
      </c>
      <c r="I258" s="39">
        <v>695</v>
      </c>
      <c r="J258" s="39">
        <v>50</v>
      </c>
      <c r="K258" s="40"/>
      <c r="L258" s="40"/>
      <c r="M258" s="40"/>
      <c r="N258" s="40"/>
      <c r="O258" s="40"/>
      <c r="P258" s="40"/>
      <c r="Q258" s="40"/>
      <c r="R258" s="40"/>
      <c r="S258" s="40"/>
      <c r="T258" s="40"/>
    </row>
    <row r="259" spans="1:20" ht="15.75">
      <c r="A259" s="13">
        <v>49004</v>
      </c>
      <c r="B259" s="48">
        <v>31</v>
      </c>
      <c r="C259" s="39">
        <v>122.58</v>
      </c>
      <c r="D259" s="39">
        <v>297.94099999999997</v>
      </c>
      <c r="E259" s="45">
        <v>729.47900000000004</v>
      </c>
      <c r="F259" s="39">
        <v>1150</v>
      </c>
      <c r="G259" s="39">
        <v>100</v>
      </c>
      <c r="H259" s="47">
        <v>600</v>
      </c>
      <c r="I259" s="39">
        <v>695</v>
      </c>
      <c r="J259" s="39">
        <v>50</v>
      </c>
      <c r="K259" s="40"/>
      <c r="L259" s="40"/>
      <c r="M259" s="40"/>
      <c r="N259" s="40"/>
      <c r="O259" s="40"/>
      <c r="P259" s="40"/>
      <c r="Q259" s="40"/>
      <c r="R259" s="40"/>
      <c r="S259" s="40"/>
      <c r="T259" s="40"/>
    </row>
    <row r="260" spans="1:20" ht="15.75">
      <c r="A260" s="13">
        <v>49035</v>
      </c>
      <c r="B260" s="48">
        <v>30</v>
      </c>
      <c r="C260" s="39">
        <v>141.29300000000001</v>
      </c>
      <c r="D260" s="39">
        <v>267.99299999999999</v>
      </c>
      <c r="E260" s="45">
        <v>829.71400000000006</v>
      </c>
      <c r="F260" s="39">
        <v>1239</v>
      </c>
      <c r="G260" s="39">
        <v>100</v>
      </c>
      <c r="H260" s="47">
        <v>600</v>
      </c>
      <c r="I260" s="39">
        <v>695</v>
      </c>
      <c r="J260" s="39">
        <v>50</v>
      </c>
      <c r="K260" s="40"/>
      <c r="L260" s="40"/>
      <c r="M260" s="40"/>
      <c r="N260" s="40"/>
      <c r="O260" s="40"/>
      <c r="P260" s="40"/>
      <c r="Q260" s="40"/>
      <c r="R260" s="40"/>
      <c r="S260" s="40"/>
      <c r="T260" s="40"/>
    </row>
    <row r="261" spans="1:20" ht="15.75">
      <c r="A261" s="13">
        <v>49065</v>
      </c>
      <c r="B261" s="48">
        <v>31</v>
      </c>
      <c r="C261" s="39">
        <v>194.20500000000001</v>
      </c>
      <c r="D261" s="39">
        <v>267.46600000000001</v>
      </c>
      <c r="E261" s="45">
        <v>812.32899999999995</v>
      </c>
      <c r="F261" s="39">
        <v>1274</v>
      </c>
      <c r="G261" s="39">
        <v>75</v>
      </c>
      <c r="H261" s="47">
        <v>600</v>
      </c>
      <c r="I261" s="39">
        <v>695</v>
      </c>
      <c r="J261" s="39">
        <v>50</v>
      </c>
      <c r="K261" s="40"/>
      <c r="L261" s="40"/>
      <c r="M261" s="40"/>
      <c r="N261" s="40"/>
      <c r="O261" s="40"/>
      <c r="P261" s="40"/>
      <c r="Q261" s="40"/>
      <c r="R261" s="40"/>
      <c r="S261" s="40"/>
      <c r="T261" s="40"/>
    </row>
    <row r="262" spans="1:20" ht="15.75">
      <c r="A262" s="13">
        <v>49096</v>
      </c>
      <c r="B262" s="48">
        <v>30</v>
      </c>
      <c r="C262" s="39">
        <v>194.20500000000001</v>
      </c>
      <c r="D262" s="39">
        <v>267.46600000000001</v>
      </c>
      <c r="E262" s="45">
        <v>812.32899999999995</v>
      </c>
      <c r="F262" s="39">
        <v>1274</v>
      </c>
      <c r="G262" s="39">
        <v>50</v>
      </c>
      <c r="H262" s="47">
        <v>600</v>
      </c>
      <c r="I262" s="39">
        <v>695</v>
      </c>
      <c r="J262" s="39">
        <v>50</v>
      </c>
      <c r="K262" s="40"/>
      <c r="L262" s="40"/>
      <c r="M262" s="40"/>
      <c r="N262" s="40"/>
      <c r="O262" s="40"/>
      <c r="P262" s="40"/>
      <c r="Q262" s="40"/>
      <c r="R262" s="40"/>
      <c r="S262" s="40"/>
      <c r="T262" s="40"/>
    </row>
    <row r="263" spans="1:20" ht="15.75">
      <c r="A263" s="13">
        <v>49126</v>
      </c>
      <c r="B263" s="48">
        <v>31</v>
      </c>
      <c r="C263" s="39">
        <v>194.20500000000001</v>
      </c>
      <c r="D263" s="39">
        <v>267.46600000000001</v>
      </c>
      <c r="E263" s="45">
        <v>812.32899999999995</v>
      </c>
      <c r="F263" s="39">
        <v>1274</v>
      </c>
      <c r="G263" s="39">
        <v>50</v>
      </c>
      <c r="H263" s="47">
        <v>600</v>
      </c>
      <c r="I263" s="39">
        <v>695</v>
      </c>
      <c r="J263" s="39">
        <v>0</v>
      </c>
      <c r="K263" s="40"/>
      <c r="L263" s="40"/>
      <c r="M263" s="40"/>
      <c r="N263" s="40"/>
      <c r="O263" s="40"/>
      <c r="P263" s="40"/>
      <c r="Q263" s="40"/>
      <c r="R263" s="40"/>
      <c r="S263" s="40"/>
      <c r="T263" s="40"/>
    </row>
    <row r="264" spans="1:20" ht="15.75">
      <c r="A264" s="13">
        <v>49157</v>
      </c>
      <c r="B264" s="48">
        <v>31</v>
      </c>
      <c r="C264" s="39">
        <v>194.20500000000001</v>
      </c>
      <c r="D264" s="39">
        <v>267.46600000000001</v>
      </c>
      <c r="E264" s="45">
        <v>812.32899999999995</v>
      </c>
      <c r="F264" s="39">
        <v>1274</v>
      </c>
      <c r="G264" s="39">
        <v>50</v>
      </c>
      <c r="H264" s="47">
        <v>600</v>
      </c>
      <c r="I264" s="39">
        <v>695</v>
      </c>
      <c r="J264" s="39">
        <v>0</v>
      </c>
      <c r="K264" s="40"/>
      <c r="L264" s="40"/>
      <c r="M264" s="40"/>
      <c r="N264" s="40"/>
      <c r="O264" s="40"/>
      <c r="P264" s="40"/>
      <c r="Q264" s="40"/>
      <c r="R264" s="40"/>
      <c r="S264" s="40"/>
      <c r="T264" s="40"/>
    </row>
    <row r="265" spans="1:20" ht="15.75">
      <c r="A265" s="13">
        <v>49188</v>
      </c>
      <c r="B265" s="48">
        <v>30</v>
      </c>
      <c r="C265" s="39">
        <v>194.20500000000001</v>
      </c>
      <c r="D265" s="39">
        <v>267.46600000000001</v>
      </c>
      <c r="E265" s="45">
        <v>812.32899999999995</v>
      </c>
      <c r="F265" s="39">
        <v>1274</v>
      </c>
      <c r="G265" s="39">
        <v>50</v>
      </c>
      <c r="H265" s="47">
        <v>600</v>
      </c>
      <c r="I265" s="39">
        <v>695</v>
      </c>
      <c r="J265" s="39">
        <v>0</v>
      </c>
      <c r="K265" s="40"/>
      <c r="L265" s="40"/>
      <c r="M265" s="40"/>
      <c r="N265" s="40"/>
      <c r="O265" s="40"/>
      <c r="P265" s="40"/>
      <c r="Q265" s="40"/>
      <c r="R265" s="40"/>
      <c r="S265" s="40"/>
      <c r="T265" s="40"/>
    </row>
    <row r="266" spans="1:20" ht="15.75">
      <c r="A266" s="13">
        <v>49218</v>
      </c>
      <c r="B266" s="48">
        <v>31</v>
      </c>
      <c r="C266" s="39">
        <v>131.881</v>
      </c>
      <c r="D266" s="39">
        <v>277.16699999999997</v>
      </c>
      <c r="E266" s="45">
        <v>829.952</v>
      </c>
      <c r="F266" s="39">
        <v>1239</v>
      </c>
      <c r="G266" s="39">
        <v>75</v>
      </c>
      <c r="H266" s="47">
        <v>600</v>
      </c>
      <c r="I266" s="39">
        <v>695</v>
      </c>
      <c r="J266" s="39">
        <v>0</v>
      </c>
      <c r="K266" s="40"/>
      <c r="L266" s="40"/>
      <c r="M266" s="40"/>
      <c r="N266" s="40"/>
      <c r="O266" s="40"/>
      <c r="P266" s="40"/>
      <c r="Q266" s="40"/>
      <c r="R266" s="40"/>
      <c r="S266" s="40"/>
      <c r="T266" s="40"/>
    </row>
    <row r="267" spans="1:20" ht="15.75">
      <c r="A267" s="13">
        <v>49249</v>
      </c>
      <c r="B267" s="48">
        <v>30</v>
      </c>
      <c r="C267" s="39">
        <v>122.58</v>
      </c>
      <c r="D267" s="39">
        <v>297.94099999999997</v>
      </c>
      <c r="E267" s="45">
        <v>729.47900000000004</v>
      </c>
      <c r="F267" s="39">
        <v>1150</v>
      </c>
      <c r="G267" s="39">
        <v>100</v>
      </c>
      <c r="H267" s="47">
        <v>600</v>
      </c>
      <c r="I267" s="39">
        <v>695</v>
      </c>
      <c r="J267" s="39">
        <v>50</v>
      </c>
      <c r="K267" s="40"/>
      <c r="L267" s="40"/>
      <c r="M267" s="40"/>
      <c r="N267" s="40"/>
      <c r="O267" s="40"/>
      <c r="P267" s="40"/>
      <c r="Q267" s="40"/>
      <c r="R267" s="40"/>
      <c r="S267" s="40"/>
      <c r="T267" s="40"/>
    </row>
    <row r="268" spans="1:20" ht="15.75">
      <c r="A268" s="13">
        <v>49279</v>
      </c>
      <c r="B268" s="48">
        <v>31</v>
      </c>
      <c r="C268" s="39">
        <v>122.58</v>
      </c>
      <c r="D268" s="39">
        <v>297.94099999999997</v>
      </c>
      <c r="E268" s="45">
        <v>729.47900000000004</v>
      </c>
      <c r="F268" s="39">
        <v>1150</v>
      </c>
      <c r="G268" s="39">
        <v>100</v>
      </c>
      <c r="H268" s="47">
        <v>600</v>
      </c>
      <c r="I268" s="39">
        <v>695</v>
      </c>
      <c r="J268" s="39">
        <v>50</v>
      </c>
      <c r="K268" s="40"/>
      <c r="L268" s="40"/>
      <c r="M268" s="40"/>
      <c r="N268" s="40"/>
      <c r="O268" s="40"/>
      <c r="P268" s="40"/>
      <c r="Q268" s="40"/>
      <c r="R268" s="40"/>
      <c r="S268" s="40"/>
      <c r="T268" s="40"/>
    </row>
    <row r="269" spans="1:20" ht="15.75">
      <c r="A269" s="13">
        <v>49310</v>
      </c>
      <c r="B269" s="48">
        <v>31</v>
      </c>
      <c r="C269" s="39">
        <v>122.58</v>
      </c>
      <c r="D269" s="39">
        <v>297.94099999999997</v>
      </c>
      <c r="E269" s="45">
        <v>729.47900000000004</v>
      </c>
      <c r="F269" s="39">
        <v>1150</v>
      </c>
      <c r="G269" s="39">
        <v>100</v>
      </c>
      <c r="H269" s="47">
        <v>600</v>
      </c>
      <c r="I269" s="39">
        <v>695</v>
      </c>
      <c r="J269" s="39">
        <v>50</v>
      </c>
      <c r="K269" s="40"/>
      <c r="L269" s="40"/>
      <c r="M269" s="40"/>
      <c r="N269" s="40"/>
      <c r="O269" s="40"/>
      <c r="P269" s="40"/>
      <c r="Q269" s="40"/>
      <c r="R269" s="40"/>
      <c r="S269" s="40"/>
      <c r="T269" s="40"/>
    </row>
    <row r="270" spans="1:20" ht="15.75">
      <c r="A270" s="13">
        <v>49341</v>
      </c>
      <c r="B270" s="48">
        <v>28</v>
      </c>
      <c r="C270" s="39">
        <v>122.58</v>
      </c>
      <c r="D270" s="39">
        <v>297.94099999999997</v>
      </c>
      <c r="E270" s="45">
        <v>729.47900000000004</v>
      </c>
      <c r="F270" s="39">
        <v>1150</v>
      </c>
      <c r="G270" s="39">
        <v>100</v>
      </c>
      <c r="H270" s="47">
        <v>600</v>
      </c>
      <c r="I270" s="39">
        <v>695</v>
      </c>
      <c r="J270" s="39">
        <v>50</v>
      </c>
      <c r="K270" s="40"/>
      <c r="L270" s="40"/>
      <c r="M270" s="40"/>
      <c r="N270" s="40"/>
      <c r="O270" s="40"/>
      <c r="P270" s="40"/>
      <c r="Q270" s="40"/>
      <c r="R270" s="40"/>
      <c r="S270" s="40"/>
      <c r="T270" s="40"/>
    </row>
    <row r="271" spans="1:20" ht="15.75">
      <c r="A271" s="13">
        <v>49369</v>
      </c>
      <c r="B271" s="48">
        <v>31</v>
      </c>
      <c r="C271" s="39">
        <v>122.58</v>
      </c>
      <c r="D271" s="39">
        <v>297.94099999999997</v>
      </c>
      <c r="E271" s="45">
        <v>729.47900000000004</v>
      </c>
      <c r="F271" s="39">
        <v>1150</v>
      </c>
      <c r="G271" s="39">
        <v>100</v>
      </c>
      <c r="H271" s="47">
        <v>600</v>
      </c>
      <c r="I271" s="39">
        <v>695</v>
      </c>
      <c r="J271" s="39">
        <v>50</v>
      </c>
      <c r="K271" s="40"/>
      <c r="L271" s="40"/>
      <c r="M271" s="40"/>
      <c r="N271" s="40"/>
      <c r="O271" s="40"/>
      <c r="P271" s="40"/>
      <c r="Q271" s="40"/>
      <c r="R271" s="40"/>
      <c r="S271" s="40"/>
      <c r="T271" s="40"/>
    </row>
    <row r="272" spans="1:20" ht="15.75">
      <c r="A272" s="13">
        <v>49400</v>
      </c>
      <c r="B272" s="48">
        <v>30</v>
      </c>
      <c r="C272" s="39">
        <v>141.29300000000001</v>
      </c>
      <c r="D272" s="39">
        <v>267.99299999999999</v>
      </c>
      <c r="E272" s="45">
        <v>829.71400000000006</v>
      </c>
      <c r="F272" s="39">
        <v>1239</v>
      </c>
      <c r="G272" s="39">
        <v>100</v>
      </c>
      <c r="H272" s="47">
        <v>600</v>
      </c>
      <c r="I272" s="39">
        <v>695</v>
      </c>
      <c r="J272" s="39">
        <v>50</v>
      </c>
      <c r="K272" s="40"/>
      <c r="L272" s="40"/>
      <c r="M272" s="40"/>
      <c r="N272" s="40"/>
      <c r="O272" s="40"/>
      <c r="P272" s="40"/>
      <c r="Q272" s="40"/>
      <c r="R272" s="40"/>
      <c r="S272" s="40"/>
      <c r="T272" s="40"/>
    </row>
    <row r="273" spans="1:20" ht="15.75">
      <c r="A273" s="13">
        <v>49430</v>
      </c>
      <c r="B273" s="48">
        <v>31</v>
      </c>
      <c r="C273" s="39">
        <v>194.20500000000001</v>
      </c>
      <c r="D273" s="39">
        <v>267.46600000000001</v>
      </c>
      <c r="E273" s="45">
        <v>812.32899999999995</v>
      </c>
      <c r="F273" s="39">
        <v>1274</v>
      </c>
      <c r="G273" s="39">
        <v>75</v>
      </c>
      <c r="H273" s="47">
        <v>600</v>
      </c>
      <c r="I273" s="39">
        <v>695</v>
      </c>
      <c r="J273" s="39">
        <v>50</v>
      </c>
      <c r="K273" s="40"/>
      <c r="L273" s="40"/>
      <c r="M273" s="40"/>
      <c r="N273" s="40"/>
      <c r="O273" s="40"/>
      <c r="P273" s="40"/>
      <c r="Q273" s="40"/>
      <c r="R273" s="40"/>
      <c r="S273" s="40"/>
      <c r="T273" s="40"/>
    </row>
    <row r="274" spans="1:20" ht="15.75">
      <c r="A274" s="14">
        <v>49461</v>
      </c>
      <c r="B274" s="48">
        <v>30</v>
      </c>
      <c r="C274" s="39">
        <v>194.20500000000001</v>
      </c>
      <c r="D274" s="39">
        <v>267.46600000000001</v>
      </c>
      <c r="E274" s="45">
        <v>812.32899999999995</v>
      </c>
      <c r="F274" s="39">
        <v>1274</v>
      </c>
      <c r="G274" s="39">
        <v>50</v>
      </c>
      <c r="H274" s="47">
        <v>600</v>
      </c>
      <c r="I274" s="39">
        <v>695</v>
      </c>
      <c r="J274" s="39">
        <v>50</v>
      </c>
      <c r="K274" s="40"/>
      <c r="L274" s="40"/>
      <c r="M274" s="40"/>
      <c r="N274" s="40"/>
      <c r="O274" s="40"/>
      <c r="P274" s="40"/>
      <c r="Q274" s="40"/>
      <c r="R274" s="40"/>
      <c r="S274" s="40"/>
      <c r="T274" s="40"/>
    </row>
    <row r="275" spans="1:20" ht="15.75">
      <c r="A275" s="14">
        <v>49491</v>
      </c>
      <c r="B275" s="48">
        <v>31</v>
      </c>
      <c r="C275" s="39">
        <v>194.20500000000001</v>
      </c>
      <c r="D275" s="39">
        <v>267.46600000000001</v>
      </c>
      <c r="E275" s="45">
        <v>812.32899999999995</v>
      </c>
      <c r="F275" s="39">
        <v>1274</v>
      </c>
      <c r="G275" s="39">
        <v>50</v>
      </c>
      <c r="H275" s="47">
        <v>600</v>
      </c>
      <c r="I275" s="39">
        <v>695</v>
      </c>
      <c r="J275" s="39">
        <v>0</v>
      </c>
      <c r="K275" s="40"/>
      <c r="L275" s="40"/>
      <c r="M275" s="40"/>
      <c r="N275" s="40"/>
      <c r="O275" s="40"/>
      <c r="P275" s="40"/>
      <c r="Q275" s="40"/>
      <c r="R275" s="40"/>
      <c r="S275" s="40"/>
      <c r="T275" s="40"/>
    </row>
    <row r="276" spans="1:20" ht="15.75">
      <c r="A276" s="14">
        <v>49522</v>
      </c>
      <c r="B276" s="48">
        <v>31</v>
      </c>
      <c r="C276" s="39">
        <v>194.20500000000001</v>
      </c>
      <c r="D276" s="39">
        <v>267.46600000000001</v>
      </c>
      <c r="E276" s="45">
        <v>812.32899999999995</v>
      </c>
      <c r="F276" s="39">
        <v>1274</v>
      </c>
      <c r="G276" s="39">
        <v>50</v>
      </c>
      <c r="H276" s="47">
        <v>600</v>
      </c>
      <c r="I276" s="39">
        <v>695</v>
      </c>
      <c r="J276" s="39">
        <v>0</v>
      </c>
      <c r="K276" s="40"/>
      <c r="L276" s="40"/>
      <c r="M276" s="40"/>
      <c r="N276" s="40"/>
      <c r="O276" s="40"/>
      <c r="P276" s="40"/>
      <c r="Q276" s="40"/>
      <c r="R276" s="40"/>
      <c r="S276" s="40"/>
      <c r="T276" s="40"/>
    </row>
    <row r="277" spans="1:20" ht="15.75">
      <c r="A277" s="14">
        <v>49553</v>
      </c>
      <c r="B277" s="48">
        <v>30</v>
      </c>
      <c r="C277" s="39">
        <v>194.20500000000001</v>
      </c>
      <c r="D277" s="39">
        <v>267.46600000000001</v>
      </c>
      <c r="E277" s="45">
        <v>812.32899999999995</v>
      </c>
      <c r="F277" s="39">
        <v>1274</v>
      </c>
      <c r="G277" s="39">
        <v>50</v>
      </c>
      <c r="H277" s="47">
        <v>600</v>
      </c>
      <c r="I277" s="39">
        <v>695</v>
      </c>
      <c r="J277" s="39">
        <v>0</v>
      </c>
      <c r="K277" s="40"/>
      <c r="L277" s="40"/>
      <c r="M277" s="40"/>
      <c r="N277" s="40"/>
      <c r="O277" s="40"/>
      <c r="P277" s="40"/>
      <c r="Q277" s="40"/>
      <c r="R277" s="40"/>
      <c r="S277" s="40"/>
      <c r="T277" s="40"/>
    </row>
    <row r="278" spans="1:20" ht="15.75">
      <c r="A278" s="14">
        <v>49583</v>
      </c>
      <c r="B278" s="48">
        <v>31</v>
      </c>
      <c r="C278" s="39">
        <v>131.881</v>
      </c>
      <c r="D278" s="39">
        <v>277.16699999999997</v>
      </c>
      <c r="E278" s="45">
        <v>829.952</v>
      </c>
      <c r="F278" s="39">
        <v>1239</v>
      </c>
      <c r="G278" s="39">
        <v>75</v>
      </c>
      <c r="H278" s="47">
        <v>600</v>
      </c>
      <c r="I278" s="39">
        <v>695</v>
      </c>
      <c r="J278" s="39">
        <v>0</v>
      </c>
      <c r="K278" s="40"/>
      <c r="L278" s="40"/>
      <c r="M278" s="40"/>
      <c r="N278" s="40"/>
      <c r="O278" s="40"/>
      <c r="P278" s="40"/>
      <c r="Q278" s="40"/>
      <c r="R278" s="40"/>
      <c r="S278" s="40"/>
      <c r="T278" s="40"/>
    </row>
    <row r="279" spans="1:20" ht="15.75">
      <c r="A279" s="14">
        <v>49614</v>
      </c>
      <c r="B279" s="48">
        <v>30</v>
      </c>
      <c r="C279" s="39">
        <v>122.58</v>
      </c>
      <c r="D279" s="39">
        <v>297.94099999999997</v>
      </c>
      <c r="E279" s="45">
        <v>729.47900000000004</v>
      </c>
      <c r="F279" s="39">
        <v>1150</v>
      </c>
      <c r="G279" s="39">
        <v>100</v>
      </c>
      <c r="H279" s="47">
        <v>600</v>
      </c>
      <c r="I279" s="39">
        <v>695</v>
      </c>
      <c r="J279" s="39">
        <v>50</v>
      </c>
      <c r="K279" s="40"/>
      <c r="L279" s="40"/>
      <c r="M279" s="40"/>
      <c r="N279" s="40"/>
      <c r="O279" s="40"/>
      <c r="P279" s="40"/>
      <c r="Q279" s="40"/>
      <c r="R279" s="40"/>
      <c r="S279" s="40"/>
      <c r="T279" s="40"/>
    </row>
    <row r="280" spans="1:20" ht="15.75">
      <c r="A280" s="14">
        <v>49644</v>
      </c>
      <c r="B280" s="48">
        <v>31</v>
      </c>
      <c r="C280" s="39">
        <v>122.58</v>
      </c>
      <c r="D280" s="39">
        <v>297.94099999999997</v>
      </c>
      <c r="E280" s="45">
        <v>729.47900000000004</v>
      </c>
      <c r="F280" s="39">
        <v>1150</v>
      </c>
      <c r="G280" s="39">
        <v>100</v>
      </c>
      <c r="H280" s="47">
        <v>600</v>
      </c>
      <c r="I280" s="39">
        <v>695</v>
      </c>
      <c r="J280" s="39">
        <v>50</v>
      </c>
      <c r="K280" s="40"/>
      <c r="L280" s="40"/>
      <c r="M280" s="40"/>
      <c r="N280" s="40"/>
      <c r="O280" s="40"/>
      <c r="P280" s="40"/>
      <c r="Q280" s="40"/>
      <c r="R280" s="40"/>
      <c r="S280" s="40"/>
      <c r="T280" s="40"/>
    </row>
    <row r="281" spans="1:20" ht="15.75">
      <c r="A281" s="14">
        <v>49675</v>
      </c>
      <c r="B281" s="48">
        <v>31</v>
      </c>
      <c r="C281" s="39">
        <v>122.58</v>
      </c>
      <c r="D281" s="39">
        <v>297.94099999999997</v>
      </c>
      <c r="E281" s="45">
        <v>729.47900000000004</v>
      </c>
      <c r="F281" s="39">
        <v>1150</v>
      </c>
      <c r="G281" s="39">
        <v>100</v>
      </c>
      <c r="H281" s="47">
        <v>600</v>
      </c>
      <c r="I281" s="39">
        <v>695</v>
      </c>
      <c r="J281" s="39">
        <v>50</v>
      </c>
      <c r="K281" s="40"/>
      <c r="L281" s="40"/>
      <c r="M281" s="40"/>
      <c r="N281" s="40"/>
      <c r="O281" s="40"/>
      <c r="P281" s="40"/>
      <c r="Q281" s="40"/>
      <c r="R281" s="40"/>
      <c r="S281" s="40"/>
      <c r="T281" s="40"/>
    </row>
    <row r="282" spans="1:20" ht="15.75">
      <c r="A282" s="14">
        <v>49706</v>
      </c>
      <c r="B282" s="48">
        <v>29</v>
      </c>
      <c r="C282" s="39">
        <v>122.58</v>
      </c>
      <c r="D282" s="39">
        <v>297.94099999999997</v>
      </c>
      <c r="E282" s="45">
        <v>729.47900000000004</v>
      </c>
      <c r="F282" s="39">
        <v>1150</v>
      </c>
      <c r="G282" s="39">
        <v>100</v>
      </c>
      <c r="H282" s="47">
        <v>600</v>
      </c>
      <c r="I282" s="39">
        <v>695</v>
      </c>
      <c r="J282" s="39">
        <v>50</v>
      </c>
      <c r="K282" s="40"/>
      <c r="L282" s="40"/>
      <c r="M282" s="40"/>
      <c r="N282" s="40"/>
      <c r="O282" s="40"/>
      <c r="P282" s="40"/>
      <c r="Q282" s="40"/>
      <c r="R282" s="40"/>
      <c r="S282" s="40"/>
      <c r="T282" s="40"/>
    </row>
    <row r="283" spans="1:20" ht="15.75">
      <c r="A283" s="14">
        <v>49735</v>
      </c>
      <c r="B283" s="48">
        <v>31</v>
      </c>
      <c r="C283" s="39">
        <v>122.58</v>
      </c>
      <c r="D283" s="39">
        <v>297.94099999999997</v>
      </c>
      <c r="E283" s="45">
        <v>729.47900000000004</v>
      </c>
      <c r="F283" s="39">
        <v>1150</v>
      </c>
      <c r="G283" s="39">
        <v>100</v>
      </c>
      <c r="H283" s="47">
        <v>600</v>
      </c>
      <c r="I283" s="39">
        <v>695</v>
      </c>
      <c r="J283" s="39">
        <v>50</v>
      </c>
      <c r="K283" s="40"/>
      <c r="L283" s="40"/>
      <c r="M283" s="40"/>
      <c r="N283" s="40"/>
      <c r="O283" s="40"/>
      <c r="P283" s="40"/>
      <c r="Q283" s="40"/>
      <c r="R283" s="40"/>
      <c r="S283" s="40"/>
      <c r="T283" s="40"/>
    </row>
    <row r="284" spans="1:20" ht="15.75">
      <c r="A284" s="14">
        <v>49766</v>
      </c>
      <c r="B284" s="48">
        <v>30</v>
      </c>
      <c r="C284" s="39">
        <v>141.29300000000001</v>
      </c>
      <c r="D284" s="39">
        <v>267.99299999999999</v>
      </c>
      <c r="E284" s="45">
        <v>829.71400000000006</v>
      </c>
      <c r="F284" s="39">
        <v>1239</v>
      </c>
      <c r="G284" s="39">
        <v>100</v>
      </c>
      <c r="H284" s="47">
        <v>600</v>
      </c>
      <c r="I284" s="39">
        <v>695</v>
      </c>
      <c r="J284" s="39">
        <v>50</v>
      </c>
      <c r="K284" s="40"/>
      <c r="L284" s="40"/>
      <c r="M284" s="40"/>
      <c r="N284" s="40"/>
      <c r="O284" s="40"/>
      <c r="P284" s="40"/>
      <c r="Q284" s="40"/>
      <c r="R284" s="40"/>
      <c r="S284" s="40"/>
      <c r="T284" s="40"/>
    </row>
    <row r="285" spans="1:20" ht="15.75">
      <c r="A285" s="14">
        <v>49796</v>
      </c>
      <c r="B285" s="48">
        <v>31</v>
      </c>
      <c r="C285" s="39">
        <v>194.20500000000001</v>
      </c>
      <c r="D285" s="39">
        <v>267.46600000000001</v>
      </c>
      <c r="E285" s="45">
        <v>812.32899999999995</v>
      </c>
      <c r="F285" s="39">
        <v>1274</v>
      </c>
      <c r="G285" s="39">
        <v>75</v>
      </c>
      <c r="H285" s="47">
        <v>600</v>
      </c>
      <c r="I285" s="39">
        <v>695</v>
      </c>
      <c r="J285" s="39">
        <v>50</v>
      </c>
      <c r="K285" s="40"/>
      <c r="L285" s="40"/>
      <c r="M285" s="40"/>
      <c r="N285" s="40"/>
      <c r="O285" s="40"/>
      <c r="P285" s="40"/>
      <c r="Q285" s="40"/>
      <c r="R285" s="40"/>
      <c r="S285" s="40"/>
      <c r="T285" s="40"/>
    </row>
    <row r="286" spans="1:20" ht="15.75">
      <c r="A286" s="14">
        <v>49827</v>
      </c>
      <c r="B286" s="48">
        <v>30</v>
      </c>
      <c r="C286" s="39">
        <v>194.20500000000001</v>
      </c>
      <c r="D286" s="39">
        <v>267.46600000000001</v>
      </c>
      <c r="E286" s="45">
        <v>812.32899999999995</v>
      </c>
      <c r="F286" s="39">
        <v>1274</v>
      </c>
      <c r="G286" s="39">
        <v>50</v>
      </c>
      <c r="H286" s="47">
        <v>600</v>
      </c>
      <c r="I286" s="39">
        <v>695</v>
      </c>
      <c r="J286" s="39">
        <v>50</v>
      </c>
      <c r="K286" s="40"/>
      <c r="L286" s="40"/>
      <c r="M286" s="40"/>
      <c r="N286" s="40"/>
      <c r="O286" s="40"/>
      <c r="P286" s="40"/>
      <c r="Q286" s="40"/>
      <c r="R286" s="40"/>
      <c r="S286" s="40"/>
      <c r="T286" s="40"/>
    </row>
    <row r="287" spans="1:20" ht="15.75">
      <c r="A287" s="14">
        <v>49857</v>
      </c>
      <c r="B287" s="48">
        <v>31</v>
      </c>
      <c r="C287" s="39">
        <v>194.20500000000001</v>
      </c>
      <c r="D287" s="39">
        <v>267.46600000000001</v>
      </c>
      <c r="E287" s="45">
        <v>812.32899999999995</v>
      </c>
      <c r="F287" s="39">
        <v>1274</v>
      </c>
      <c r="G287" s="39">
        <v>50</v>
      </c>
      <c r="H287" s="47">
        <v>600</v>
      </c>
      <c r="I287" s="39">
        <v>695</v>
      </c>
      <c r="J287" s="39">
        <v>0</v>
      </c>
      <c r="K287" s="40"/>
      <c r="L287" s="40"/>
      <c r="M287" s="40"/>
      <c r="N287" s="40"/>
      <c r="O287" s="40"/>
      <c r="P287" s="40"/>
      <c r="Q287" s="40"/>
      <c r="R287" s="40"/>
      <c r="S287" s="40"/>
      <c r="T287" s="40"/>
    </row>
    <row r="288" spans="1:20" ht="15.75">
      <c r="A288" s="14">
        <v>49888</v>
      </c>
      <c r="B288" s="48">
        <v>31</v>
      </c>
      <c r="C288" s="39">
        <v>194.20500000000001</v>
      </c>
      <c r="D288" s="39">
        <v>267.46600000000001</v>
      </c>
      <c r="E288" s="45">
        <v>812.32899999999995</v>
      </c>
      <c r="F288" s="39">
        <v>1274</v>
      </c>
      <c r="G288" s="39">
        <v>50</v>
      </c>
      <c r="H288" s="47">
        <v>600</v>
      </c>
      <c r="I288" s="39">
        <v>695</v>
      </c>
      <c r="J288" s="39">
        <v>0</v>
      </c>
      <c r="K288" s="40"/>
      <c r="L288" s="40"/>
      <c r="M288" s="40"/>
      <c r="N288" s="40"/>
      <c r="O288" s="40"/>
      <c r="P288" s="40"/>
      <c r="Q288" s="40"/>
      <c r="R288" s="40"/>
      <c r="S288" s="40"/>
      <c r="T288" s="40"/>
    </row>
    <row r="289" spans="1:20" ht="15.75">
      <c r="A289" s="14">
        <v>49919</v>
      </c>
      <c r="B289" s="48">
        <v>30</v>
      </c>
      <c r="C289" s="39">
        <v>194.20500000000001</v>
      </c>
      <c r="D289" s="39">
        <v>267.46600000000001</v>
      </c>
      <c r="E289" s="45">
        <v>812.32899999999995</v>
      </c>
      <c r="F289" s="39">
        <v>1274</v>
      </c>
      <c r="G289" s="39">
        <v>50</v>
      </c>
      <c r="H289" s="47">
        <v>600</v>
      </c>
      <c r="I289" s="39">
        <v>695</v>
      </c>
      <c r="J289" s="39">
        <v>0</v>
      </c>
      <c r="K289" s="40"/>
      <c r="L289" s="40"/>
      <c r="M289" s="40"/>
      <c r="N289" s="40"/>
      <c r="O289" s="40"/>
      <c r="P289" s="40"/>
      <c r="Q289" s="40"/>
      <c r="R289" s="40"/>
      <c r="S289" s="40"/>
      <c r="T289" s="40"/>
    </row>
    <row r="290" spans="1:20" ht="15.75">
      <c r="A290" s="14">
        <v>49949</v>
      </c>
      <c r="B290" s="48">
        <v>31</v>
      </c>
      <c r="C290" s="39">
        <v>131.881</v>
      </c>
      <c r="D290" s="39">
        <v>277.16699999999997</v>
      </c>
      <c r="E290" s="45">
        <v>829.952</v>
      </c>
      <c r="F290" s="39">
        <v>1239</v>
      </c>
      <c r="G290" s="39">
        <v>75</v>
      </c>
      <c r="H290" s="47">
        <v>600</v>
      </c>
      <c r="I290" s="39">
        <v>695</v>
      </c>
      <c r="J290" s="39">
        <v>0</v>
      </c>
      <c r="K290" s="40"/>
      <c r="L290" s="40"/>
      <c r="M290" s="40"/>
      <c r="N290" s="40"/>
      <c r="O290" s="40"/>
      <c r="P290" s="40"/>
      <c r="Q290" s="40"/>
      <c r="R290" s="40"/>
      <c r="S290" s="40"/>
      <c r="T290" s="40"/>
    </row>
    <row r="291" spans="1:20" ht="15.75">
      <c r="A291" s="14">
        <v>49980</v>
      </c>
      <c r="B291" s="48">
        <v>30</v>
      </c>
      <c r="C291" s="39">
        <v>122.58</v>
      </c>
      <c r="D291" s="39">
        <v>297.94099999999997</v>
      </c>
      <c r="E291" s="45">
        <v>729.47900000000004</v>
      </c>
      <c r="F291" s="39">
        <v>1150</v>
      </c>
      <c r="G291" s="39">
        <v>100</v>
      </c>
      <c r="H291" s="47">
        <v>600</v>
      </c>
      <c r="I291" s="39">
        <v>695</v>
      </c>
      <c r="J291" s="39">
        <v>50</v>
      </c>
      <c r="K291" s="40"/>
      <c r="L291" s="40"/>
      <c r="M291" s="40"/>
      <c r="N291" s="40"/>
      <c r="O291" s="40"/>
      <c r="P291" s="40"/>
      <c r="Q291" s="40"/>
      <c r="R291" s="40"/>
      <c r="S291" s="40"/>
      <c r="T291" s="40"/>
    </row>
    <row r="292" spans="1:20" ht="15.75">
      <c r="A292" s="14">
        <v>50010</v>
      </c>
      <c r="B292" s="48">
        <v>31</v>
      </c>
      <c r="C292" s="39">
        <v>122.58</v>
      </c>
      <c r="D292" s="39">
        <v>297.94099999999997</v>
      </c>
      <c r="E292" s="45">
        <v>729.47900000000004</v>
      </c>
      <c r="F292" s="39">
        <v>1150</v>
      </c>
      <c r="G292" s="39">
        <v>100</v>
      </c>
      <c r="H292" s="47">
        <v>600</v>
      </c>
      <c r="I292" s="39">
        <v>695</v>
      </c>
      <c r="J292" s="39">
        <v>50</v>
      </c>
      <c r="K292" s="40"/>
      <c r="L292" s="40"/>
      <c r="M292" s="40"/>
      <c r="N292" s="40"/>
      <c r="O292" s="40"/>
      <c r="P292" s="40"/>
      <c r="Q292" s="40"/>
      <c r="R292" s="40"/>
      <c r="S292" s="40"/>
      <c r="T292" s="40"/>
    </row>
    <row r="293" spans="1:20" ht="15.75">
      <c r="A293" s="14">
        <v>50041</v>
      </c>
      <c r="B293" s="48">
        <v>31</v>
      </c>
      <c r="C293" s="39">
        <v>122.58</v>
      </c>
      <c r="D293" s="39">
        <v>297.94099999999997</v>
      </c>
      <c r="E293" s="45">
        <v>729.47900000000004</v>
      </c>
      <c r="F293" s="39">
        <v>1150</v>
      </c>
      <c r="G293" s="39">
        <v>100</v>
      </c>
      <c r="H293" s="47">
        <v>600</v>
      </c>
      <c r="I293" s="39">
        <v>695</v>
      </c>
      <c r="J293" s="39">
        <v>50</v>
      </c>
      <c r="K293" s="40"/>
      <c r="L293" s="40"/>
      <c r="M293" s="40"/>
      <c r="N293" s="40"/>
      <c r="O293" s="40"/>
      <c r="P293" s="40"/>
      <c r="Q293" s="40"/>
      <c r="R293" s="40"/>
      <c r="S293" s="40"/>
      <c r="T293" s="40"/>
    </row>
    <row r="294" spans="1:20" ht="15.75">
      <c r="A294" s="14">
        <v>50072</v>
      </c>
      <c r="B294" s="48">
        <v>28</v>
      </c>
      <c r="C294" s="39">
        <v>122.58</v>
      </c>
      <c r="D294" s="39">
        <v>297.94099999999997</v>
      </c>
      <c r="E294" s="45">
        <v>729.47900000000004</v>
      </c>
      <c r="F294" s="39">
        <v>1150</v>
      </c>
      <c r="G294" s="39">
        <v>100</v>
      </c>
      <c r="H294" s="47">
        <v>600</v>
      </c>
      <c r="I294" s="39">
        <v>695</v>
      </c>
      <c r="J294" s="39">
        <v>50</v>
      </c>
      <c r="K294" s="40"/>
      <c r="L294" s="40"/>
      <c r="M294" s="40"/>
      <c r="N294" s="40"/>
      <c r="O294" s="40"/>
      <c r="P294" s="40"/>
      <c r="Q294" s="40"/>
      <c r="R294" s="40"/>
      <c r="S294" s="40"/>
      <c r="T294" s="40"/>
    </row>
    <row r="295" spans="1:20" ht="15.75">
      <c r="A295" s="14">
        <v>50100</v>
      </c>
      <c r="B295" s="48">
        <v>31</v>
      </c>
      <c r="C295" s="39">
        <v>122.58</v>
      </c>
      <c r="D295" s="39">
        <v>297.94099999999997</v>
      </c>
      <c r="E295" s="45">
        <v>729.47900000000004</v>
      </c>
      <c r="F295" s="39">
        <v>1150</v>
      </c>
      <c r="G295" s="39">
        <v>100</v>
      </c>
      <c r="H295" s="47">
        <v>600</v>
      </c>
      <c r="I295" s="39">
        <v>695</v>
      </c>
      <c r="J295" s="39">
        <v>50</v>
      </c>
      <c r="K295" s="40"/>
      <c r="L295" s="40"/>
      <c r="M295" s="40"/>
      <c r="N295" s="40"/>
      <c r="O295" s="40"/>
      <c r="P295" s="40"/>
      <c r="Q295" s="40"/>
      <c r="R295" s="40"/>
      <c r="S295" s="40"/>
      <c r="T295" s="40"/>
    </row>
    <row r="296" spans="1:20" ht="15.75">
      <c r="A296" s="14">
        <v>50131</v>
      </c>
      <c r="B296" s="48">
        <v>30</v>
      </c>
      <c r="C296" s="39">
        <v>141.29300000000001</v>
      </c>
      <c r="D296" s="39">
        <v>267.99299999999999</v>
      </c>
      <c r="E296" s="45">
        <v>829.71400000000006</v>
      </c>
      <c r="F296" s="39">
        <v>1239</v>
      </c>
      <c r="G296" s="39">
        <v>100</v>
      </c>
      <c r="H296" s="47">
        <v>600</v>
      </c>
      <c r="I296" s="39">
        <v>695</v>
      </c>
      <c r="J296" s="39">
        <v>50</v>
      </c>
      <c r="K296" s="40"/>
      <c r="L296" s="40"/>
      <c r="M296" s="40"/>
      <c r="N296" s="40"/>
      <c r="O296" s="40"/>
      <c r="P296" s="40"/>
      <c r="Q296" s="40"/>
      <c r="R296" s="40"/>
      <c r="S296" s="40"/>
      <c r="T296" s="40"/>
    </row>
    <row r="297" spans="1:20" ht="15.75">
      <c r="A297" s="14">
        <v>50161</v>
      </c>
      <c r="B297" s="48">
        <v>31</v>
      </c>
      <c r="C297" s="39">
        <v>194.20500000000001</v>
      </c>
      <c r="D297" s="39">
        <v>267.46600000000001</v>
      </c>
      <c r="E297" s="45">
        <v>812.32899999999995</v>
      </c>
      <c r="F297" s="39">
        <v>1274</v>
      </c>
      <c r="G297" s="39">
        <v>75</v>
      </c>
      <c r="H297" s="47">
        <v>600</v>
      </c>
      <c r="I297" s="39">
        <v>695</v>
      </c>
      <c r="J297" s="39">
        <v>50</v>
      </c>
      <c r="K297" s="40"/>
      <c r="L297" s="40"/>
      <c r="M297" s="40"/>
      <c r="N297" s="40"/>
      <c r="O297" s="40"/>
      <c r="P297" s="40"/>
      <c r="Q297" s="40"/>
      <c r="R297" s="40"/>
      <c r="S297" s="40"/>
      <c r="T297" s="40"/>
    </row>
    <row r="298" spans="1:20" ht="15.75">
      <c r="A298" s="14">
        <v>50192</v>
      </c>
      <c r="B298" s="48">
        <v>30</v>
      </c>
      <c r="C298" s="39">
        <v>194.20500000000001</v>
      </c>
      <c r="D298" s="39">
        <v>267.46600000000001</v>
      </c>
      <c r="E298" s="45">
        <v>812.32899999999995</v>
      </c>
      <c r="F298" s="39">
        <v>1274</v>
      </c>
      <c r="G298" s="39">
        <v>50</v>
      </c>
      <c r="H298" s="47">
        <v>600</v>
      </c>
      <c r="I298" s="39">
        <v>695</v>
      </c>
      <c r="J298" s="39">
        <v>50</v>
      </c>
      <c r="K298" s="40"/>
      <c r="L298" s="40"/>
      <c r="M298" s="40"/>
      <c r="N298" s="40"/>
      <c r="O298" s="40"/>
      <c r="P298" s="40"/>
      <c r="Q298" s="40"/>
      <c r="R298" s="40"/>
      <c r="S298" s="40"/>
      <c r="T298" s="40"/>
    </row>
    <row r="299" spans="1:20" ht="15.75">
      <c r="A299" s="14">
        <v>50222</v>
      </c>
      <c r="B299" s="48">
        <v>31</v>
      </c>
      <c r="C299" s="39">
        <v>194.20500000000001</v>
      </c>
      <c r="D299" s="39">
        <v>267.46600000000001</v>
      </c>
      <c r="E299" s="45">
        <v>812.32899999999995</v>
      </c>
      <c r="F299" s="39">
        <v>1274</v>
      </c>
      <c r="G299" s="39">
        <v>50</v>
      </c>
      <c r="H299" s="47">
        <v>600</v>
      </c>
      <c r="I299" s="39">
        <v>695</v>
      </c>
      <c r="J299" s="39">
        <v>0</v>
      </c>
      <c r="K299" s="40"/>
      <c r="L299" s="40"/>
      <c r="M299" s="40"/>
      <c r="N299" s="40"/>
      <c r="O299" s="40"/>
      <c r="P299" s="40"/>
      <c r="Q299" s="40"/>
      <c r="R299" s="40"/>
      <c r="S299" s="40"/>
      <c r="T299" s="40"/>
    </row>
    <row r="300" spans="1:20" ht="15.75">
      <c r="A300" s="14">
        <v>50253</v>
      </c>
      <c r="B300" s="48">
        <v>31</v>
      </c>
      <c r="C300" s="39">
        <v>194.20500000000001</v>
      </c>
      <c r="D300" s="39">
        <v>267.46600000000001</v>
      </c>
      <c r="E300" s="45">
        <v>812.32899999999995</v>
      </c>
      <c r="F300" s="39">
        <v>1274</v>
      </c>
      <c r="G300" s="39">
        <v>50</v>
      </c>
      <c r="H300" s="47">
        <v>600</v>
      </c>
      <c r="I300" s="39">
        <v>695</v>
      </c>
      <c r="J300" s="39">
        <v>0</v>
      </c>
      <c r="K300" s="40"/>
      <c r="L300" s="40"/>
      <c r="M300" s="40"/>
      <c r="N300" s="40"/>
      <c r="O300" s="40"/>
      <c r="P300" s="40"/>
      <c r="Q300" s="40"/>
      <c r="R300" s="40"/>
      <c r="S300" s="40"/>
      <c r="T300" s="40"/>
    </row>
    <row r="301" spans="1:20" ht="15.75">
      <c r="A301" s="14">
        <v>50284</v>
      </c>
      <c r="B301" s="48">
        <v>30</v>
      </c>
      <c r="C301" s="39">
        <v>194.20500000000001</v>
      </c>
      <c r="D301" s="39">
        <v>267.46600000000001</v>
      </c>
      <c r="E301" s="45">
        <v>812.32899999999995</v>
      </c>
      <c r="F301" s="39">
        <v>1274</v>
      </c>
      <c r="G301" s="39">
        <v>50</v>
      </c>
      <c r="H301" s="47">
        <v>600</v>
      </c>
      <c r="I301" s="39">
        <v>695</v>
      </c>
      <c r="J301" s="39">
        <v>0</v>
      </c>
      <c r="K301" s="40"/>
      <c r="L301" s="40"/>
      <c r="M301" s="40"/>
      <c r="N301" s="40"/>
      <c r="O301" s="40"/>
      <c r="P301" s="40"/>
      <c r="Q301" s="40"/>
      <c r="R301" s="40"/>
      <c r="S301" s="40"/>
      <c r="T301" s="40"/>
    </row>
    <row r="302" spans="1:20" ht="15.75">
      <c r="A302" s="14">
        <v>50314</v>
      </c>
      <c r="B302" s="48">
        <v>31</v>
      </c>
      <c r="C302" s="39">
        <v>131.881</v>
      </c>
      <c r="D302" s="39">
        <v>277.16699999999997</v>
      </c>
      <c r="E302" s="45">
        <v>829.952</v>
      </c>
      <c r="F302" s="39">
        <v>1239</v>
      </c>
      <c r="G302" s="39">
        <v>75</v>
      </c>
      <c r="H302" s="47">
        <v>600</v>
      </c>
      <c r="I302" s="39">
        <v>695</v>
      </c>
      <c r="J302" s="39">
        <v>0</v>
      </c>
      <c r="K302" s="40"/>
      <c r="L302" s="40"/>
      <c r="M302" s="40"/>
      <c r="N302" s="40"/>
      <c r="O302" s="40"/>
      <c r="P302" s="40"/>
      <c r="Q302" s="40"/>
      <c r="R302" s="40"/>
      <c r="S302" s="40"/>
      <c r="T302" s="40"/>
    </row>
    <row r="303" spans="1:20" ht="15.75">
      <c r="A303" s="14">
        <v>50345</v>
      </c>
      <c r="B303" s="48">
        <v>30</v>
      </c>
      <c r="C303" s="39">
        <v>122.58</v>
      </c>
      <c r="D303" s="39">
        <v>297.94099999999997</v>
      </c>
      <c r="E303" s="45">
        <v>729.47900000000004</v>
      </c>
      <c r="F303" s="39">
        <v>1150</v>
      </c>
      <c r="G303" s="39">
        <v>100</v>
      </c>
      <c r="H303" s="47">
        <v>600</v>
      </c>
      <c r="I303" s="39">
        <v>695</v>
      </c>
      <c r="J303" s="39">
        <v>50</v>
      </c>
      <c r="K303" s="40"/>
      <c r="L303" s="40"/>
      <c r="M303" s="40"/>
      <c r="N303" s="40"/>
      <c r="O303" s="40"/>
      <c r="P303" s="40"/>
      <c r="Q303" s="40"/>
      <c r="R303" s="40"/>
      <c r="S303" s="40"/>
      <c r="T303" s="40"/>
    </row>
    <row r="304" spans="1:20" ht="15.75">
      <c r="A304" s="14">
        <v>50375</v>
      </c>
      <c r="B304" s="48">
        <v>31</v>
      </c>
      <c r="C304" s="39">
        <v>122.58</v>
      </c>
      <c r="D304" s="39">
        <v>297.94099999999997</v>
      </c>
      <c r="E304" s="45">
        <v>729.47900000000004</v>
      </c>
      <c r="F304" s="39">
        <v>1150</v>
      </c>
      <c r="G304" s="39">
        <v>100</v>
      </c>
      <c r="H304" s="47">
        <v>600</v>
      </c>
      <c r="I304" s="39">
        <v>695</v>
      </c>
      <c r="J304" s="39">
        <v>50</v>
      </c>
      <c r="K304" s="40"/>
      <c r="L304" s="40"/>
      <c r="M304" s="40"/>
      <c r="N304" s="40"/>
      <c r="O304" s="40"/>
      <c r="P304" s="40"/>
      <c r="Q304" s="40"/>
      <c r="R304" s="40"/>
      <c r="S304" s="40"/>
      <c r="T304" s="40"/>
    </row>
    <row r="305" spans="1:20" ht="15.75">
      <c r="A305" s="13">
        <v>50436</v>
      </c>
      <c r="B305" s="48">
        <v>31</v>
      </c>
      <c r="C305" s="39">
        <v>122.58</v>
      </c>
      <c r="D305" s="39">
        <v>297.94099999999997</v>
      </c>
      <c r="E305" s="45">
        <v>729.47900000000004</v>
      </c>
      <c r="F305" s="39">
        <v>1150</v>
      </c>
      <c r="G305" s="39">
        <v>100</v>
      </c>
      <c r="H305" s="47">
        <v>600</v>
      </c>
      <c r="I305" s="39">
        <v>695</v>
      </c>
      <c r="J305" s="39">
        <v>50</v>
      </c>
      <c r="K305" s="40"/>
      <c r="L305" s="40"/>
      <c r="M305" s="40"/>
      <c r="N305" s="40"/>
      <c r="O305" s="40"/>
      <c r="P305" s="40"/>
      <c r="Q305" s="40"/>
      <c r="R305" s="40"/>
      <c r="S305" s="40"/>
      <c r="T305" s="40"/>
    </row>
    <row r="306" spans="1:20" ht="15.75">
      <c r="A306" s="13">
        <v>50464</v>
      </c>
      <c r="B306" s="48">
        <v>28</v>
      </c>
      <c r="C306" s="39">
        <v>122.58</v>
      </c>
      <c r="D306" s="39">
        <v>297.94099999999997</v>
      </c>
      <c r="E306" s="45">
        <v>729.47900000000004</v>
      </c>
      <c r="F306" s="39">
        <v>1150</v>
      </c>
      <c r="G306" s="39">
        <v>100</v>
      </c>
      <c r="H306" s="47">
        <v>600</v>
      </c>
      <c r="I306" s="39">
        <v>695</v>
      </c>
      <c r="J306" s="39">
        <v>50</v>
      </c>
      <c r="K306" s="40"/>
      <c r="L306" s="40"/>
      <c r="M306" s="40"/>
      <c r="N306" s="40"/>
      <c r="O306" s="40"/>
      <c r="P306" s="40"/>
      <c r="Q306" s="40"/>
      <c r="R306" s="40"/>
      <c r="S306" s="40"/>
      <c r="T306" s="40"/>
    </row>
    <row r="307" spans="1:20" ht="15.75">
      <c r="A307" s="13">
        <v>50495</v>
      </c>
      <c r="B307" s="48">
        <v>31</v>
      </c>
      <c r="C307" s="39">
        <v>122.58</v>
      </c>
      <c r="D307" s="39">
        <v>297.94099999999997</v>
      </c>
      <c r="E307" s="45">
        <v>729.47900000000004</v>
      </c>
      <c r="F307" s="39">
        <v>1150</v>
      </c>
      <c r="G307" s="39">
        <v>100</v>
      </c>
      <c r="H307" s="47">
        <v>600</v>
      </c>
      <c r="I307" s="39">
        <v>695</v>
      </c>
      <c r="J307" s="39">
        <v>50</v>
      </c>
      <c r="K307" s="40"/>
      <c r="L307" s="40"/>
      <c r="M307" s="40"/>
      <c r="N307" s="40"/>
      <c r="O307" s="40"/>
      <c r="P307" s="40"/>
      <c r="Q307" s="40"/>
      <c r="R307" s="40"/>
      <c r="S307" s="40"/>
      <c r="T307" s="40"/>
    </row>
    <row r="308" spans="1:20" ht="15.75">
      <c r="A308" s="13">
        <v>50525</v>
      </c>
      <c r="B308" s="48">
        <v>30</v>
      </c>
      <c r="C308" s="39">
        <v>141.29300000000001</v>
      </c>
      <c r="D308" s="39">
        <v>267.99299999999999</v>
      </c>
      <c r="E308" s="45">
        <v>829.71400000000006</v>
      </c>
      <c r="F308" s="39">
        <v>1239</v>
      </c>
      <c r="G308" s="39">
        <v>100</v>
      </c>
      <c r="H308" s="47">
        <v>600</v>
      </c>
      <c r="I308" s="39">
        <v>695</v>
      </c>
      <c r="J308" s="39">
        <v>50</v>
      </c>
      <c r="K308" s="40"/>
      <c r="L308" s="40"/>
      <c r="M308" s="40"/>
      <c r="N308" s="40"/>
      <c r="O308" s="40"/>
      <c r="P308" s="40"/>
      <c r="Q308" s="40"/>
      <c r="R308" s="40"/>
      <c r="S308" s="40"/>
      <c r="T308" s="40"/>
    </row>
    <row r="309" spans="1:20" ht="15.75">
      <c r="A309" s="13">
        <v>50556</v>
      </c>
      <c r="B309" s="48">
        <v>31</v>
      </c>
      <c r="C309" s="39">
        <v>194.20500000000001</v>
      </c>
      <c r="D309" s="39">
        <v>267.46600000000001</v>
      </c>
      <c r="E309" s="45">
        <v>812.32899999999995</v>
      </c>
      <c r="F309" s="39">
        <v>1274</v>
      </c>
      <c r="G309" s="39">
        <v>75</v>
      </c>
      <c r="H309" s="47">
        <v>600</v>
      </c>
      <c r="I309" s="39">
        <v>695</v>
      </c>
      <c r="J309" s="39">
        <v>50</v>
      </c>
      <c r="K309" s="40"/>
      <c r="L309" s="40"/>
      <c r="M309" s="40"/>
      <c r="N309" s="40"/>
      <c r="O309" s="40"/>
      <c r="P309" s="40"/>
      <c r="Q309" s="40"/>
      <c r="R309" s="40"/>
      <c r="S309" s="40"/>
      <c r="T309" s="40"/>
    </row>
    <row r="310" spans="1:20" ht="15.75">
      <c r="A310" s="13">
        <v>50586</v>
      </c>
      <c r="B310" s="48">
        <v>30</v>
      </c>
      <c r="C310" s="39">
        <v>194.20500000000001</v>
      </c>
      <c r="D310" s="39">
        <v>267.46600000000001</v>
      </c>
      <c r="E310" s="45">
        <v>812.32899999999995</v>
      </c>
      <c r="F310" s="39">
        <v>1274</v>
      </c>
      <c r="G310" s="39">
        <v>50</v>
      </c>
      <c r="H310" s="47">
        <v>600</v>
      </c>
      <c r="I310" s="39">
        <v>695</v>
      </c>
      <c r="J310" s="39">
        <v>50</v>
      </c>
      <c r="K310" s="40"/>
      <c r="L310" s="40"/>
      <c r="M310" s="40"/>
      <c r="N310" s="40"/>
      <c r="O310" s="40"/>
      <c r="P310" s="40"/>
      <c r="Q310" s="40"/>
      <c r="R310" s="40"/>
      <c r="S310" s="40"/>
      <c r="T310" s="40"/>
    </row>
    <row r="311" spans="1:20" ht="15.75">
      <c r="A311" s="13">
        <v>50617</v>
      </c>
      <c r="B311" s="48">
        <v>31</v>
      </c>
      <c r="C311" s="39">
        <v>194.20500000000001</v>
      </c>
      <c r="D311" s="39">
        <v>267.46600000000001</v>
      </c>
      <c r="E311" s="45">
        <v>812.32899999999995</v>
      </c>
      <c r="F311" s="39">
        <v>1274</v>
      </c>
      <c r="G311" s="39">
        <v>50</v>
      </c>
      <c r="H311" s="47">
        <v>600</v>
      </c>
      <c r="I311" s="39">
        <v>695</v>
      </c>
      <c r="J311" s="39">
        <v>0</v>
      </c>
      <c r="K311" s="40"/>
      <c r="L311" s="40"/>
      <c r="M311" s="40"/>
      <c r="N311" s="40"/>
      <c r="O311" s="40"/>
      <c r="P311" s="40"/>
      <c r="Q311" s="40"/>
      <c r="R311" s="40"/>
      <c r="S311" s="40"/>
      <c r="T311" s="40"/>
    </row>
    <row r="312" spans="1:20" ht="15.75">
      <c r="A312" s="13">
        <v>50648</v>
      </c>
      <c r="B312" s="48">
        <v>31</v>
      </c>
      <c r="C312" s="39">
        <v>194.20500000000001</v>
      </c>
      <c r="D312" s="39">
        <v>267.46600000000001</v>
      </c>
      <c r="E312" s="45">
        <v>812.32899999999995</v>
      </c>
      <c r="F312" s="39">
        <v>1274</v>
      </c>
      <c r="G312" s="39">
        <v>50</v>
      </c>
      <c r="H312" s="47">
        <v>600</v>
      </c>
      <c r="I312" s="39">
        <v>695</v>
      </c>
      <c r="J312" s="39">
        <v>0</v>
      </c>
      <c r="K312" s="40"/>
      <c r="L312" s="40"/>
      <c r="M312" s="40"/>
      <c r="N312" s="40"/>
      <c r="O312" s="40"/>
      <c r="P312" s="40"/>
      <c r="Q312" s="40"/>
      <c r="R312" s="40"/>
      <c r="S312" s="40"/>
      <c r="T312" s="40"/>
    </row>
    <row r="313" spans="1:20" ht="15.75">
      <c r="A313" s="13">
        <v>50678</v>
      </c>
      <c r="B313" s="48">
        <v>30</v>
      </c>
      <c r="C313" s="39">
        <v>194.20500000000001</v>
      </c>
      <c r="D313" s="39">
        <v>267.46600000000001</v>
      </c>
      <c r="E313" s="45">
        <v>812.32899999999995</v>
      </c>
      <c r="F313" s="39">
        <v>1274</v>
      </c>
      <c r="G313" s="39">
        <v>50</v>
      </c>
      <c r="H313" s="47">
        <v>600</v>
      </c>
      <c r="I313" s="39">
        <v>695</v>
      </c>
      <c r="J313" s="39">
        <v>0</v>
      </c>
      <c r="K313" s="40"/>
      <c r="L313" s="40"/>
      <c r="M313" s="40"/>
      <c r="N313" s="40"/>
      <c r="O313" s="40"/>
      <c r="P313" s="40"/>
      <c r="Q313" s="40"/>
      <c r="R313" s="40"/>
      <c r="S313" s="40"/>
      <c r="T313" s="40"/>
    </row>
    <row r="314" spans="1:20" ht="15.75">
      <c r="A314" s="13">
        <v>50709</v>
      </c>
      <c r="B314" s="48">
        <v>31</v>
      </c>
      <c r="C314" s="39">
        <v>131.881</v>
      </c>
      <c r="D314" s="39">
        <v>277.16699999999997</v>
      </c>
      <c r="E314" s="45">
        <v>829.952</v>
      </c>
      <c r="F314" s="39">
        <v>1239</v>
      </c>
      <c r="G314" s="39">
        <v>75</v>
      </c>
      <c r="H314" s="47">
        <v>600</v>
      </c>
      <c r="I314" s="39">
        <v>695</v>
      </c>
      <c r="J314" s="39">
        <v>0</v>
      </c>
      <c r="K314" s="40"/>
      <c r="L314" s="40"/>
      <c r="M314" s="40"/>
      <c r="N314" s="40"/>
      <c r="O314" s="40"/>
      <c r="P314" s="40"/>
      <c r="Q314" s="40"/>
      <c r="R314" s="40"/>
      <c r="S314" s="40"/>
      <c r="T314" s="40"/>
    </row>
    <row r="315" spans="1:20" ht="15.75">
      <c r="A315" s="13">
        <v>50739</v>
      </c>
      <c r="B315" s="48">
        <v>30</v>
      </c>
      <c r="C315" s="39">
        <v>122.58</v>
      </c>
      <c r="D315" s="39">
        <v>297.94099999999997</v>
      </c>
      <c r="E315" s="45">
        <v>729.47900000000004</v>
      </c>
      <c r="F315" s="39">
        <v>1150</v>
      </c>
      <c r="G315" s="39">
        <v>100</v>
      </c>
      <c r="H315" s="47">
        <v>600</v>
      </c>
      <c r="I315" s="39">
        <v>695</v>
      </c>
      <c r="J315" s="39">
        <v>50</v>
      </c>
      <c r="K315" s="40"/>
      <c r="L315" s="40"/>
      <c r="M315" s="40"/>
      <c r="N315" s="40"/>
      <c r="O315" s="40"/>
      <c r="P315" s="40"/>
      <c r="Q315" s="40"/>
      <c r="R315" s="40"/>
      <c r="S315" s="40"/>
      <c r="T315" s="40"/>
    </row>
    <row r="316" spans="1:20" ht="15.75">
      <c r="A316" s="13">
        <v>50770</v>
      </c>
      <c r="B316" s="48">
        <v>31</v>
      </c>
      <c r="C316" s="39">
        <v>122.58</v>
      </c>
      <c r="D316" s="39">
        <v>297.94099999999997</v>
      </c>
      <c r="E316" s="45">
        <v>729.47900000000004</v>
      </c>
      <c r="F316" s="39">
        <v>1150</v>
      </c>
      <c r="G316" s="39">
        <v>100</v>
      </c>
      <c r="H316" s="47">
        <v>600</v>
      </c>
      <c r="I316" s="39">
        <v>695</v>
      </c>
      <c r="J316" s="39">
        <v>50</v>
      </c>
      <c r="K316" s="40"/>
      <c r="L316" s="40"/>
      <c r="M316" s="40"/>
      <c r="N316" s="40"/>
      <c r="O316" s="40"/>
      <c r="P316" s="40"/>
      <c r="Q316" s="40"/>
      <c r="R316" s="40"/>
      <c r="S316" s="40"/>
      <c r="T316" s="40"/>
    </row>
    <row r="317" spans="1:20" ht="15.75">
      <c r="A317" s="13">
        <v>50801</v>
      </c>
      <c r="B317" s="48">
        <v>31</v>
      </c>
      <c r="C317" s="39">
        <v>122.58</v>
      </c>
      <c r="D317" s="39">
        <v>297.94099999999997</v>
      </c>
      <c r="E317" s="45">
        <v>729.47900000000004</v>
      </c>
      <c r="F317" s="39">
        <v>1150</v>
      </c>
      <c r="G317" s="39">
        <v>100</v>
      </c>
      <c r="H317" s="47">
        <v>600</v>
      </c>
      <c r="I317" s="39">
        <v>695</v>
      </c>
      <c r="J317" s="39">
        <v>50</v>
      </c>
      <c r="K317" s="40"/>
      <c r="L317" s="40"/>
      <c r="M317" s="40"/>
      <c r="N317" s="40"/>
      <c r="O317" s="40"/>
      <c r="P317" s="40"/>
      <c r="Q317" s="40"/>
      <c r="R317" s="40"/>
      <c r="S317" s="40"/>
      <c r="T317" s="40"/>
    </row>
    <row r="318" spans="1:20" ht="15.75">
      <c r="A318" s="13">
        <v>50829</v>
      </c>
      <c r="B318" s="48">
        <v>28</v>
      </c>
      <c r="C318" s="39">
        <v>122.58</v>
      </c>
      <c r="D318" s="39">
        <v>297.94099999999997</v>
      </c>
      <c r="E318" s="45">
        <v>729.47900000000004</v>
      </c>
      <c r="F318" s="39">
        <v>1150</v>
      </c>
      <c r="G318" s="39">
        <v>100</v>
      </c>
      <c r="H318" s="47">
        <v>600</v>
      </c>
      <c r="I318" s="39">
        <v>695</v>
      </c>
      <c r="J318" s="39">
        <v>50</v>
      </c>
      <c r="K318" s="40"/>
      <c r="L318" s="40"/>
      <c r="M318" s="40"/>
      <c r="N318" s="40"/>
      <c r="O318" s="40"/>
      <c r="P318" s="40"/>
      <c r="Q318" s="40"/>
      <c r="R318" s="40"/>
      <c r="S318" s="40"/>
      <c r="T318" s="40"/>
    </row>
    <row r="319" spans="1:20" ht="15.75">
      <c r="A319" s="13">
        <v>50860</v>
      </c>
      <c r="B319" s="48">
        <v>31</v>
      </c>
      <c r="C319" s="39">
        <v>122.58</v>
      </c>
      <c r="D319" s="39">
        <v>297.94099999999997</v>
      </c>
      <c r="E319" s="45">
        <v>729.47900000000004</v>
      </c>
      <c r="F319" s="39">
        <v>1150</v>
      </c>
      <c r="G319" s="39">
        <v>100</v>
      </c>
      <c r="H319" s="47">
        <v>600</v>
      </c>
      <c r="I319" s="39">
        <v>695</v>
      </c>
      <c r="J319" s="39">
        <v>50</v>
      </c>
      <c r="K319" s="40"/>
      <c r="L319" s="40"/>
      <c r="M319" s="40"/>
      <c r="N319" s="40"/>
      <c r="O319" s="40"/>
      <c r="P319" s="40"/>
      <c r="Q319" s="40"/>
      <c r="R319" s="40"/>
      <c r="S319" s="40"/>
      <c r="T319" s="40"/>
    </row>
    <row r="320" spans="1:20" ht="15.75">
      <c r="A320" s="13">
        <v>50890</v>
      </c>
      <c r="B320" s="48">
        <v>30</v>
      </c>
      <c r="C320" s="39">
        <v>141.29300000000001</v>
      </c>
      <c r="D320" s="39">
        <v>267.99299999999999</v>
      </c>
      <c r="E320" s="45">
        <v>829.71400000000006</v>
      </c>
      <c r="F320" s="39">
        <v>1239</v>
      </c>
      <c r="G320" s="39">
        <v>100</v>
      </c>
      <c r="H320" s="47">
        <v>600</v>
      </c>
      <c r="I320" s="39">
        <v>695</v>
      </c>
      <c r="J320" s="39">
        <v>50</v>
      </c>
      <c r="K320" s="40"/>
      <c r="L320" s="40"/>
      <c r="M320" s="40"/>
      <c r="N320" s="40"/>
      <c r="O320" s="40"/>
      <c r="P320" s="40"/>
      <c r="Q320" s="40"/>
      <c r="R320" s="40"/>
      <c r="S320" s="40"/>
      <c r="T320" s="40"/>
    </row>
    <row r="321" spans="1:20" ht="15.75">
      <c r="A321" s="13">
        <v>50921</v>
      </c>
      <c r="B321" s="48">
        <v>31</v>
      </c>
      <c r="C321" s="39">
        <v>194.20500000000001</v>
      </c>
      <c r="D321" s="39">
        <v>267.46600000000001</v>
      </c>
      <c r="E321" s="45">
        <v>812.32899999999995</v>
      </c>
      <c r="F321" s="39">
        <v>1274</v>
      </c>
      <c r="G321" s="39">
        <v>75</v>
      </c>
      <c r="H321" s="47">
        <v>600</v>
      </c>
      <c r="I321" s="39">
        <v>695</v>
      </c>
      <c r="J321" s="39">
        <v>50</v>
      </c>
      <c r="K321" s="40"/>
      <c r="L321" s="40"/>
      <c r="M321" s="40"/>
      <c r="N321" s="40"/>
      <c r="O321" s="40"/>
      <c r="P321" s="40"/>
      <c r="Q321" s="40"/>
      <c r="R321" s="40"/>
      <c r="S321" s="40"/>
      <c r="T321" s="40"/>
    </row>
    <row r="322" spans="1:20" ht="15.75">
      <c r="A322" s="13">
        <v>50951</v>
      </c>
      <c r="B322" s="48">
        <v>30</v>
      </c>
      <c r="C322" s="39">
        <v>194.20500000000001</v>
      </c>
      <c r="D322" s="39">
        <v>267.46600000000001</v>
      </c>
      <c r="E322" s="45">
        <v>812.32899999999995</v>
      </c>
      <c r="F322" s="39">
        <v>1274</v>
      </c>
      <c r="G322" s="39">
        <v>50</v>
      </c>
      <c r="H322" s="47">
        <v>600</v>
      </c>
      <c r="I322" s="39">
        <v>695</v>
      </c>
      <c r="J322" s="39">
        <v>50</v>
      </c>
      <c r="K322" s="40"/>
      <c r="L322" s="40"/>
      <c r="M322" s="40"/>
      <c r="N322" s="40"/>
      <c r="O322" s="40"/>
      <c r="P322" s="40"/>
      <c r="Q322" s="40"/>
      <c r="R322" s="40"/>
      <c r="S322" s="40"/>
      <c r="T322" s="40"/>
    </row>
    <row r="323" spans="1:20" ht="15.75">
      <c r="A323" s="13">
        <v>50982</v>
      </c>
      <c r="B323" s="48">
        <v>31</v>
      </c>
      <c r="C323" s="39">
        <v>194.20500000000001</v>
      </c>
      <c r="D323" s="39">
        <v>267.46600000000001</v>
      </c>
      <c r="E323" s="45">
        <v>812.32899999999995</v>
      </c>
      <c r="F323" s="39">
        <v>1274</v>
      </c>
      <c r="G323" s="39">
        <v>50</v>
      </c>
      <c r="H323" s="47">
        <v>600</v>
      </c>
      <c r="I323" s="39">
        <v>695</v>
      </c>
      <c r="J323" s="39">
        <v>0</v>
      </c>
      <c r="K323" s="40"/>
      <c r="L323" s="40"/>
      <c r="M323" s="40"/>
      <c r="N323" s="40"/>
      <c r="O323" s="40"/>
      <c r="P323" s="40"/>
      <c r="Q323" s="40"/>
      <c r="R323" s="40"/>
      <c r="S323" s="40"/>
      <c r="T323" s="40"/>
    </row>
    <row r="324" spans="1:20" ht="15.75">
      <c r="A324" s="13">
        <v>51013</v>
      </c>
      <c r="B324" s="48">
        <v>31</v>
      </c>
      <c r="C324" s="39">
        <v>194.20500000000001</v>
      </c>
      <c r="D324" s="39">
        <v>267.46600000000001</v>
      </c>
      <c r="E324" s="45">
        <v>812.32899999999995</v>
      </c>
      <c r="F324" s="39">
        <v>1274</v>
      </c>
      <c r="G324" s="39">
        <v>50</v>
      </c>
      <c r="H324" s="47">
        <v>600</v>
      </c>
      <c r="I324" s="39">
        <v>695</v>
      </c>
      <c r="J324" s="39">
        <v>0</v>
      </c>
      <c r="K324" s="40"/>
      <c r="L324" s="40"/>
      <c r="M324" s="40"/>
      <c r="N324" s="40"/>
      <c r="O324" s="40"/>
      <c r="P324" s="40"/>
      <c r="Q324" s="40"/>
      <c r="R324" s="40"/>
      <c r="S324" s="40"/>
      <c r="T324" s="40"/>
    </row>
    <row r="325" spans="1:20" ht="15.75">
      <c r="A325" s="13">
        <v>51043</v>
      </c>
      <c r="B325" s="48">
        <v>30</v>
      </c>
      <c r="C325" s="39">
        <v>194.20500000000001</v>
      </c>
      <c r="D325" s="39">
        <v>267.46600000000001</v>
      </c>
      <c r="E325" s="45">
        <v>812.32899999999995</v>
      </c>
      <c r="F325" s="39">
        <v>1274</v>
      </c>
      <c r="G325" s="39">
        <v>50</v>
      </c>
      <c r="H325" s="47">
        <v>600</v>
      </c>
      <c r="I325" s="39">
        <v>695</v>
      </c>
      <c r="J325" s="39">
        <v>0</v>
      </c>
      <c r="K325" s="40"/>
      <c r="L325" s="40"/>
      <c r="M325" s="40"/>
      <c r="N325" s="40"/>
      <c r="O325" s="40"/>
      <c r="P325" s="40"/>
      <c r="Q325" s="40"/>
      <c r="R325" s="40"/>
      <c r="S325" s="40"/>
      <c r="T325" s="40"/>
    </row>
    <row r="326" spans="1:20" ht="15.75">
      <c r="A326" s="13">
        <v>51074</v>
      </c>
      <c r="B326" s="48">
        <v>31</v>
      </c>
      <c r="C326" s="39">
        <v>131.881</v>
      </c>
      <c r="D326" s="39">
        <v>277.16699999999997</v>
      </c>
      <c r="E326" s="45">
        <v>829.952</v>
      </c>
      <c r="F326" s="39">
        <v>1239</v>
      </c>
      <c r="G326" s="39">
        <v>75</v>
      </c>
      <c r="H326" s="47">
        <v>600</v>
      </c>
      <c r="I326" s="39">
        <v>695</v>
      </c>
      <c r="J326" s="39">
        <v>0</v>
      </c>
      <c r="K326" s="40"/>
      <c r="L326" s="40"/>
      <c r="M326" s="40"/>
      <c r="N326" s="40"/>
      <c r="O326" s="40"/>
      <c r="P326" s="40"/>
      <c r="Q326" s="40"/>
      <c r="R326" s="40"/>
      <c r="S326" s="40"/>
      <c r="T326" s="40"/>
    </row>
    <row r="327" spans="1:20" ht="15.75">
      <c r="A327" s="13">
        <v>51104</v>
      </c>
      <c r="B327" s="48">
        <v>30</v>
      </c>
      <c r="C327" s="39">
        <v>122.58</v>
      </c>
      <c r="D327" s="39">
        <v>297.94099999999997</v>
      </c>
      <c r="E327" s="45">
        <v>729.47900000000004</v>
      </c>
      <c r="F327" s="39">
        <v>1150</v>
      </c>
      <c r="G327" s="39">
        <v>100</v>
      </c>
      <c r="H327" s="47">
        <v>600</v>
      </c>
      <c r="I327" s="39">
        <v>695</v>
      </c>
      <c r="J327" s="39">
        <v>50</v>
      </c>
      <c r="K327" s="40"/>
      <c r="L327" s="40"/>
      <c r="M327" s="40"/>
      <c r="N327" s="40"/>
      <c r="O327" s="40"/>
      <c r="P327" s="40"/>
      <c r="Q327" s="40"/>
      <c r="R327" s="40"/>
      <c r="S327" s="40"/>
      <c r="T327" s="40"/>
    </row>
    <row r="328" spans="1:20" ht="15.75">
      <c r="A328" s="13">
        <v>51135</v>
      </c>
      <c r="B328" s="48">
        <v>31</v>
      </c>
      <c r="C328" s="39">
        <v>122.58</v>
      </c>
      <c r="D328" s="39">
        <v>297.94099999999997</v>
      </c>
      <c r="E328" s="45">
        <v>729.47900000000004</v>
      </c>
      <c r="F328" s="39">
        <v>1150</v>
      </c>
      <c r="G328" s="39">
        <v>100</v>
      </c>
      <c r="H328" s="47">
        <v>600</v>
      </c>
      <c r="I328" s="39">
        <v>695</v>
      </c>
      <c r="J328" s="39">
        <v>50</v>
      </c>
      <c r="K328" s="40"/>
      <c r="L328" s="40"/>
      <c r="M328" s="40"/>
      <c r="N328" s="40"/>
      <c r="O328" s="40"/>
      <c r="P328" s="40"/>
      <c r="Q328" s="40"/>
      <c r="R328" s="40"/>
      <c r="S328" s="40"/>
      <c r="T328" s="40"/>
    </row>
    <row r="329" spans="1:20" ht="15.75">
      <c r="A329" s="13">
        <v>51166</v>
      </c>
      <c r="B329" s="48">
        <v>31</v>
      </c>
      <c r="C329" s="39">
        <v>122.58</v>
      </c>
      <c r="D329" s="39">
        <v>297.94099999999997</v>
      </c>
      <c r="E329" s="45">
        <v>729.47900000000004</v>
      </c>
      <c r="F329" s="39">
        <v>1150</v>
      </c>
      <c r="G329" s="39">
        <v>100</v>
      </c>
      <c r="H329" s="47">
        <v>600</v>
      </c>
      <c r="I329" s="39">
        <v>695</v>
      </c>
      <c r="J329" s="39">
        <v>50</v>
      </c>
      <c r="K329" s="40"/>
      <c r="L329" s="40"/>
      <c r="M329" s="40"/>
      <c r="N329" s="40"/>
      <c r="O329" s="40"/>
      <c r="P329" s="40"/>
      <c r="Q329" s="40"/>
      <c r="R329" s="40"/>
      <c r="S329" s="40"/>
      <c r="T329" s="40"/>
    </row>
    <row r="330" spans="1:20" ht="15.75">
      <c r="A330" s="13">
        <v>51194</v>
      </c>
      <c r="B330" s="48">
        <v>29</v>
      </c>
      <c r="C330" s="39">
        <v>122.58</v>
      </c>
      <c r="D330" s="39">
        <v>297.94099999999997</v>
      </c>
      <c r="E330" s="45">
        <v>729.47900000000004</v>
      </c>
      <c r="F330" s="39">
        <v>1150</v>
      </c>
      <c r="G330" s="39">
        <v>100</v>
      </c>
      <c r="H330" s="47">
        <v>600</v>
      </c>
      <c r="I330" s="39">
        <v>695</v>
      </c>
      <c r="J330" s="39">
        <v>50</v>
      </c>
      <c r="K330" s="40"/>
      <c r="L330" s="40"/>
      <c r="M330" s="40"/>
      <c r="N330" s="40"/>
      <c r="O330" s="40"/>
      <c r="P330" s="40"/>
      <c r="Q330" s="40"/>
      <c r="R330" s="40"/>
      <c r="S330" s="40"/>
      <c r="T330" s="40"/>
    </row>
    <row r="331" spans="1:20" ht="15.75">
      <c r="A331" s="13">
        <v>51226</v>
      </c>
      <c r="B331" s="48">
        <v>31</v>
      </c>
      <c r="C331" s="39">
        <v>122.58</v>
      </c>
      <c r="D331" s="39">
        <v>297.94099999999997</v>
      </c>
      <c r="E331" s="45">
        <v>729.47900000000004</v>
      </c>
      <c r="F331" s="39">
        <v>1150</v>
      </c>
      <c r="G331" s="39">
        <v>100</v>
      </c>
      <c r="H331" s="47">
        <v>600</v>
      </c>
      <c r="I331" s="39">
        <v>695</v>
      </c>
      <c r="J331" s="39">
        <v>50</v>
      </c>
      <c r="K331" s="40"/>
      <c r="L331" s="40"/>
      <c r="M331" s="40"/>
      <c r="N331" s="40"/>
      <c r="O331" s="40"/>
      <c r="P331" s="40"/>
      <c r="Q331" s="40"/>
      <c r="R331" s="40"/>
      <c r="S331" s="40"/>
      <c r="T331" s="40"/>
    </row>
    <row r="332" spans="1:20" ht="15.75">
      <c r="A332" s="13">
        <v>51256</v>
      </c>
      <c r="B332" s="48">
        <v>30</v>
      </c>
      <c r="C332" s="39">
        <v>141.29300000000001</v>
      </c>
      <c r="D332" s="39">
        <v>267.99299999999999</v>
      </c>
      <c r="E332" s="45">
        <v>829.71400000000006</v>
      </c>
      <c r="F332" s="39">
        <v>1239</v>
      </c>
      <c r="G332" s="39">
        <v>100</v>
      </c>
      <c r="H332" s="47">
        <v>600</v>
      </c>
      <c r="I332" s="39">
        <v>695</v>
      </c>
      <c r="J332" s="39">
        <v>50</v>
      </c>
      <c r="K332" s="40"/>
      <c r="L332" s="40"/>
      <c r="M332" s="40"/>
      <c r="N332" s="40"/>
      <c r="O332" s="40"/>
      <c r="P332" s="40"/>
      <c r="Q332" s="40"/>
      <c r="R332" s="40"/>
      <c r="S332" s="40"/>
      <c r="T332" s="40"/>
    </row>
    <row r="333" spans="1:20" ht="15.75">
      <c r="A333" s="13">
        <v>51287</v>
      </c>
      <c r="B333" s="48">
        <v>31</v>
      </c>
      <c r="C333" s="39">
        <v>194.20500000000001</v>
      </c>
      <c r="D333" s="39">
        <v>267.46600000000001</v>
      </c>
      <c r="E333" s="45">
        <v>812.32899999999995</v>
      </c>
      <c r="F333" s="39">
        <v>1274</v>
      </c>
      <c r="G333" s="39">
        <v>75</v>
      </c>
      <c r="H333" s="47">
        <v>600</v>
      </c>
      <c r="I333" s="39">
        <v>695</v>
      </c>
      <c r="J333" s="39">
        <v>50</v>
      </c>
      <c r="K333" s="40"/>
      <c r="L333" s="40"/>
      <c r="M333" s="40"/>
      <c r="N333" s="40"/>
      <c r="O333" s="40"/>
      <c r="P333" s="40"/>
      <c r="Q333" s="40"/>
      <c r="R333" s="40"/>
      <c r="S333" s="40"/>
      <c r="T333" s="40"/>
    </row>
    <row r="334" spans="1:20" ht="15.75">
      <c r="A334" s="13">
        <v>51317</v>
      </c>
      <c r="B334" s="48">
        <v>30</v>
      </c>
      <c r="C334" s="39">
        <v>194.20500000000001</v>
      </c>
      <c r="D334" s="39">
        <v>267.46600000000001</v>
      </c>
      <c r="E334" s="45">
        <v>812.32899999999995</v>
      </c>
      <c r="F334" s="39">
        <v>1274</v>
      </c>
      <c r="G334" s="39">
        <v>50</v>
      </c>
      <c r="H334" s="47">
        <v>600</v>
      </c>
      <c r="I334" s="39">
        <v>695</v>
      </c>
      <c r="J334" s="39">
        <v>50</v>
      </c>
      <c r="K334" s="40"/>
      <c r="L334" s="40"/>
      <c r="M334" s="40"/>
      <c r="N334" s="40"/>
      <c r="O334" s="40"/>
      <c r="P334" s="40"/>
      <c r="Q334" s="40"/>
      <c r="R334" s="40"/>
      <c r="S334" s="40"/>
      <c r="T334" s="40"/>
    </row>
    <row r="335" spans="1:20" ht="15.75">
      <c r="A335" s="13">
        <v>51348</v>
      </c>
      <c r="B335" s="48">
        <v>31</v>
      </c>
      <c r="C335" s="39">
        <v>194.20500000000001</v>
      </c>
      <c r="D335" s="39">
        <v>267.46600000000001</v>
      </c>
      <c r="E335" s="45">
        <v>812.32899999999995</v>
      </c>
      <c r="F335" s="39">
        <v>1274</v>
      </c>
      <c r="G335" s="39">
        <v>50</v>
      </c>
      <c r="H335" s="47">
        <v>600</v>
      </c>
      <c r="I335" s="39">
        <v>695</v>
      </c>
      <c r="J335" s="39">
        <v>0</v>
      </c>
      <c r="K335" s="40"/>
      <c r="L335" s="40"/>
      <c r="M335" s="40"/>
      <c r="N335" s="40"/>
      <c r="O335" s="40"/>
      <c r="P335" s="40"/>
      <c r="Q335" s="40"/>
      <c r="R335" s="40"/>
      <c r="S335" s="40"/>
      <c r="T335" s="40"/>
    </row>
    <row r="336" spans="1:20" ht="15.75">
      <c r="A336" s="13">
        <v>51379</v>
      </c>
      <c r="B336" s="48">
        <v>31</v>
      </c>
      <c r="C336" s="39">
        <v>194.20500000000001</v>
      </c>
      <c r="D336" s="39">
        <v>267.46600000000001</v>
      </c>
      <c r="E336" s="45">
        <v>812.32899999999995</v>
      </c>
      <c r="F336" s="39">
        <v>1274</v>
      </c>
      <c r="G336" s="39">
        <v>50</v>
      </c>
      <c r="H336" s="47">
        <v>600</v>
      </c>
      <c r="I336" s="39">
        <v>695</v>
      </c>
      <c r="J336" s="39">
        <v>0</v>
      </c>
      <c r="K336" s="40"/>
      <c r="L336" s="40"/>
      <c r="M336" s="40"/>
      <c r="N336" s="40"/>
      <c r="O336" s="40"/>
      <c r="P336" s="40"/>
      <c r="Q336" s="40"/>
      <c r="R336" s="40"/>
      <c r="S336" s="40"/>
      <c r="T336" s="40"/>
    </row>
    <row r="337" spans="1:20" ht="15.75">
      <c r="A337" s="13">
        <v>51409</v>
      </c>
      <c r="B337" s="48">
        <v>30</v>
      </c>
      <c r="C337" s="39">
        <v>194.20500000000001</v>
      </c>
      <c r="D337" s="39">
        <v>267.46600000000001</v>
      </c>
      <c r="E337" s="45">
        <v>812.32899999999995</v>
      </c>
      <c r="F337" s="39">
        <v>1274</v>
      </c>
      <c r="G337" s="39">
        <v>50</v>
      </c>
      <c r="H337" s="47">
        <v>600</v>
      </c>
      <c r="I337" s="39">
        <v>695</v>
      </c>
      <c r="J337" s="39">
        <v>0</v>
      </c>
      <c r="K337" s="40"/>
      <c r="L337" s="40"/>
      <c r="M337" s="40"/>
      <c r="N337" s="40"/>
      <c r="O337" s="40"/>
      <c r="P337" s="40"/>
      <c r="Q337" s="40"/>
      <c r="R337" s="40"/>
      <c r="S337" s="40"/>
      <c r="T337" s="40"/>
    </row>
    <row r="338" spans="1:20" ht="15.75">
      <c r="A338" s="13">
        <v>51440</v>
      </c>
      <c r="B338" s="48">
        <v>31</v>
      </c>
      <c r="C338" s="39">
        <v>131.881</v>
      </c>
      <c r="D338" s="39">
        <v>277.16699999999997</v>
      </c>
      <c r="E338" s="45">
        <v>829.952</v>
      </c>
      <c r="F338" s="39">
        <v>1239</v>
      </c>
      <c r="G338" s="39">
        <v>75</v>
      </c>
      <c r="H338" s="47">
        <v>600</v>
      </c>
      <c r="I338" s="39">
        <v>695</v>
      </c>
      <c r="J338" s="39">
        <v>0</v>
      </c>
      <c r="K338" s="40"/>
      <c r="L338" s="40"/>
      <c r="M338" s="40"/>
      <c r="N338" s="40"/>
      <c r="O338" s="40"/>
      <c r="P338" s="40"/>
      <c r="Q338" s="40"/>
      <c r="R338" s="40"/>
      <c r="S338" s="40"/>
      <c r="T338" s="40"/>
    </row>
    <row r="339" spans="1:20" ht="15.75">
      <c r="A339" s="13">
        <v>51470</v>
      </c>
      <c r="B339" s="48">
        <v>30</v>
      </c>
      <c r="C339" s="39">
        <v>122.58</v>
      </c>
      <c r="D339" s="39">
        <v>297.94099999999997</v>
      </c>
      <c r="E339" s="45">
        <v>729.47900000000004</v>
      </c>
      <c r="F339" s="39">
        <v>1150</v>
      </c>
      <c r="G339" s="39">
        <v>100</v>
      </c>
      <c r="H339" s="47">
        <v>600</v>
      </c>
      <c r="I339" s="39">
        <v>695</v>
      </c>
      <c r="J339" s="39">
        <v>50</v>
      </c>
      <c r="K339" s="40"/>
      <c r="L339" s="40"/>
      <c r="M339" s="40"/>
      <c r="N339" s="40"/>
      <c r="O339" s="40"/>
      <c r="P339" s="40"/>
      <c r="Q339" s="40"/>
      <c r="R339" s="40"/>
      <c r="S339" s="40"/>
      <c r="T339" s="40"/>
    </row>
    <row r="340" spans="1:20" ht="15.75">
      <c r="A340" s="13">
        <v>51501</v>
      </c>
      <c r="B340" s="48">
        <v>31</v>
      </c>
      <c r="C340" s="39">
        <v>122.58</v>
      </c>
      <c r="D340" s="39">
        <v>297.94099999999997</v>
      </c>
      <c r="E340" s="45">
        <v>729.47900000000004</v>
      </c>
      <c r="F340" s="39">
        <v>1150</v>
      </c>
      <c r="G340" s="39">
        <v>100</v>
      </c>
      <c r="H340" s="47">
        <v>600</v>
      </c>
      <c r="I340" s="39">
        <v>695</v>
      </c>
      <c r="J340" s="39">
        <v>50</v>
      </c>
      <c r="K340" s="40"/>
      <c r="L340" s="40"/>
      <c r="M340" s="40"/>
      <c r="N340" s="40"/>
      <c r="O340" s="40"/>
      <c r="P340" s="40"/>
      <c r="Q340" s="40"/>
      <c r="R340" s="40"/>
      <c r="S340" s="40"/>
      <c r="T340" s="40"/>
    </row>
    <row r="341" spans="1:20" ht="15.75">
      <c r="A341" s="13">
        <v>51532</v>
      </c>
      <c r="B341" s="48">
        <v>31</v>
      </c>
      <c r="C341" s="39">
        <v>122.58</v>
      </c>
      <c r="D341" s="39">
        <v>297.94099999999997</v>
      </c>
      <c r="E341" s="45">
        <v>729.47900000000004</v>
      </c>
      <c r="F341" s="39">
        <v>1150</v>
      </c>
      <c r="G341" s="39">
        <v>100</v>
      </c>
      <c r="H341" s="47">
        <v>600</v>
      </c>
      <c r="I341" s="39">
        <v>695</v>
      </c>
      <c r="J341" s="39">
        <v>50</v>
      </c>
      <c r="K341" s="40"/>
      <c r="L341" s="40"/>
      <c r="M341" s="40"/>
      <c r="N341" s="40"/>
      <c r="O341" s="40"/>
      <c r="P341" s="40"/>
      <c r="Q341" s="40"/>
      <c r="R341" s="40"/>
      <c r="S341" s="40"/>
      <c r="T341" s="40"/>
    </row>
    <row r="342" spans="1:20" ht="15.75">
      <c r="A342" s="13">
        <v>51560</v>
      </c>
      <c r="B342" s="48">
        <v>28</v>
      </c>
      <c r="C342" s="39">
        <v>122.58</v>
      </c>
      <c r="D342" s="39">
        <v>297.94099999999997</v>
      </c>
      <c r="E342" s="45">
        <v>729.47900000000004</v>
      </c>
      <c r="F342" s="39">
        <v>1150</v>
      </c>
      <c r="G342" s="39">
        <v>100</v>
      </c>
      <c r="H342" s="47">
        <v>600</v>
      </c>
      <c r="I342" s="39">
        <v>695</v>
      </c>
      <c r="J342" s="39">
        <v>50</v>
      </c>
      <c r="K342" s="40"/>
      <c r="L342" s="40"/>
      <c r="M342" s="40"/>
      <c r="N342" s="40"/>
      <c r="O342" s="40"/>
      <c r="P342" s="40"/>
      <c r="Q342" s="40"/>
      <c r="R342" s="40"/>
      <c r="S342" s="40"/>
      <c r="T342" s="40"/>
    </row>
    <row r="343" spans="1:20" ht="15.75">
      <c r="A343" s="13">
        <v>51591</v>
      </c>
      <c r="B343" s="48">
        <v>31</v>
      </c>
      <c r="C343" s="39">
        <v>122.58</v>
      </c>
      <c r="D343" s="39">
        <v>297.94099999999997</v>
      </c>
      <c r="E343" s="45">
        <v>729.47900000000004</v>
      </c>
      <c r="F343" s="39">
        <v>1150</v>
      </c>
      <c r="G343" s="39">
        <v>100</v>
      </c>
      <c r="H343" s="47">
        <v>600</v>
      </c>
      <c r="I343" s="39">
        <v>695</v>
      </c>
      <c r="J343" s="39">
        <v>50</v>
      </c>
      <c r="K343" s="40"/>
      <c r="L343" s="40"/>
      <c r="M343" s="40"/>
      <c r="N343" s="40"/>
      <c r="O343" s="40"/>
      <c r="P343" s="40"/>
      <c r="Q343" s="40"/>
      <c r="R343" s="40"/>
      <c r="S343" s="40"/>
      <c r="T343" s="40"/>
    </row>
    <row r="344" spans="1:20" ht="15.75">
      <c r="A344" s="13">
        <v>51621</v>
      </c>
      <c r="B344" s="48">
        <v>30</v>
      </c>
      <c r="C344" s="39">
        <v>141.29300000000001</v>
      </c>
      <c r="D344" s="39">
        <v>267.99299999999999</v>
      </c>
      <c r="E344" s="45">
        <v>829.71400000000006</v>
      </c>
      <c r="F344" s="39">
        <v>1239</v>
      </c>
      <c r="G344" s="39">
        <v>100</v>
      </c>
      <c r="H344" s="47">
        <v>600</v>
      </c>
      <c r="I344" s="39">
        <v>695</v>
      </c>
      <c r="J344" s="39">
        <v>50</v>
      </c>
      <c r="K344" s="40"/>
      <c r="L344" s="40"/>
      <c r="M344" s="40"/>
      <c r="N344" s="40"/>
      <c r="O344" s="40"/>
      <c r="P344" s="40"/>
      <c r="Q344" s="40"/>
      <c r="R344" s="40"/>
      <c r="S344" s="40"/>
      <c r="T344" s="40"/>
    </row>
    <row r="345" spans="1:20" ht="15.75">
      <c r="A345" s="13">
        <v>51652</v>
      </c>
      <c r="B345" s="48">
        <v>31</v>
      </c>
      <c r="C345" s="39">
        <v>194.20500000000001</v>
      </c>
      <c r="D345" s="39">
        <v>267.46600000000001</v>
      </c>
      <c r="E345" s="45">
        <v>812.32899999999995</v>
      </c>
      <c r="F345" s="39">
        <v>1274</v>
      </c>
      <c r="G345" s="39">
        <v>75</v>
      </c>
      <c r="H345" s="47">
        <v>600</v>
      </c>
      <c r="I345" s="39">
        <v>695</v>
      </c>
      <c r="J345" s="39">
        <v>50</v>
      </c>
      <c r="K345" s="40"/>
      <c r="L345" s="40"/>
      <c r="M345" s="40"/>
      <c r="N345" s="40"/>
      <c r="O345" s="40"/>
      <c r="P345" s="40"/>
      <c r="Q345" s="40"/>
      <c r="R345" s="40"/>
      <c r="S345" s="40"/>
      <c r="T345" s="40"/>
    </row>
    <row r="346" spans="1:20" ht="15.75">
      <c r="A346" s="13">
        <v>51682</v>
      </c>
      <c r="B346" s="48">
        <v>30</v>
      </c>
      <c r="C346" s="39">
        <v>194.20500000000001</v>
      </c>
      <c r="D346" s="39">
        <v>267.46600000000001</v>
      </c>
      <c r="E346" s="45">
        <v>812.32899999999995</v>
      </c>
      <c r="F346" s="39">
        <v>1274</v>
      </c>
      <c r="G346" s="39">
        <v>50</v>
      </c>
      <c r="H346" s="47">
        <v>600</v>
      </c>
      <c r="I346" s="39">
        <v>695</v>
      </c>
      <c r="J346" s="39">
        <v>50</v>
      </c>
      <c r="K346" s="40"/>
      <c r="L346" s="40"/>
      <c r="M346" s="40"/>
      <c r="N346" s="40"/>
      <c r="O346" s="40"/>
      <c r="P346" s="40"/>
      <c r="Q346" s="40"/>
      <c r="R346" s="40"/>
      <c r="S346" s="40"/>
      <c r="T346" s="40"/>
    </row>
    <row r="347" spans="1:20" ht="15.75">
      <c r="A347" s="13">
        <v>51713</v>
      </c>
      <c r="B347" s="48">
        <v>31</v>
      </c>
      <c r="C347" s="39">
        <v>194.20500000000001</v>
      </c>
      <c r="D347" s="39">
        <v>267.46600000000001</v>
      </c>
      <c r="E347" s="45">
        <v>812.32899999999995</v>
      </c>
      <c r="F347" s="39">
        <v>1274</v>
      </c>
      <c r="G347" s="39">
        <v>50</v>
      </c>
      <c r="H347" s="47">
        <v>600</v>
      </c>
      <c r="I347" s="39">
        <v>695</v>
      </c>
      <c r="J347" s="39">
        <v>0</v>
      </c>
      <c r="K347" s="40"/>
      <c r="L347" s="40"/>
      <c r="M347" s="40"/>
      <c r="N347" s="40"/>
      <c r="O347" s="40"/>
      <c r="P347" s="40"/>
      <c r="Q347" s="40"/>
      <c r="R347" s="40"/>
      <c r="S347" s="40"/>
      <c r="T347" s="40"/>
    </row>
    <row r="348" spans="1:20" ht="15.75">
      <c r="A348" s="13">
        <v>51744</v>
      </c>
      <c r="B348" s="48">
        <v>31</v>
      </c>
      <c r="C348" s="39">
        <v>194.20500000000001</v>
      </c>
      <c r="D348" s="39">
        <v>267.46600000000001</v>
      </c>
      <c r="E348" s="45">
        <v>812.32899999999995</v>
      </c>
      <c r="F348" s="39">
        <v>1274</v>
      </c>
      <c r="G348" s="39">
        <v>50</v>
      </c>
      <c r="H348" s="47">
        <v>600</v>
      </c>
      <c r="I348" s="39">
        <v>695</v>
      </c>
      <c r="J348" s="39">
        <v>0</v>
      </c>
      <c r="K348" s="40"/>
      <c r="L348" s="40"/>
      <c r="M348" s="40"/>
      <c r="N348" s="40"/>
      <c r="O348" s="40"/>
      <c r="P348" s="40"/>
      <c r="Q348" s="40"/>
      <c r="R348" s="40"/>
      <c r="S348" s="40"/>
      <c r="T348" s="40"/>
    </row>
    <row r="349" spans="1:20" ht="15.75">
      <c r="A349" s="13">
        <v>51774</v>
      </c>
      <c r="B349" s="48">
        <v>30</v>
      </c>
      <c r="C349" s="39">
        <v>194.20500000000001</v>
      </c>
      <c r="D349" s="39">
        <v>267.46600000000001</v>
      </c>
      <c r="E349" s="45">
        <v>812.32899999999995</v>
      </c>
      <c r="F349" s="39">
        <v>1274</v>
      </c>
      <c r="G349" s="39">
        <v>50</v>
      </c>
      <c r="H349" s="47">
        <v>600</v>
      </c>
      <c r="I349" s="39">
        <v>695</v>
      </c>
      <c r="J349" s="39">
        <v>0</v>
      </c>
      <c r="K349" s="40"/>
      <c r="L349" s="40"/>
      <c r="M349" s="40"/>
      <c r="N349" s="40"/>
      <c r="O349" s="40"/>
      <c r="P349" s="40"/>
      <c r="Q349" s="40"/>
      <c r="R349" s="40"/>
      <c r="S349" s="40"/>
      <c r="T349" s="40"/>
    </row>
    <row r="350" spans="1:20" ht="15.75">
      <c r="A350" s="13">
        <v>51805</v>
      </c>
      <c r="B350" s="48">
        <v>31</v>
      </c>
      <c r="C350" s="39">
        <v>131.881</v>
      </c>
      <c r="D350" s="39">
        <v>277.16699999999997</v>
      </c>
      <c r="E350" s="45">
        <v>829.952</v>
      </c>
      <c r="F350" s="39">
        <v>1239</v>
      </c>
      <c r="G350" s="39">
        <v>75</v>
      </c>
      <c r="H350" s="47">
        <v>600</v>
      </c>
      <c r="I350" s="39">
        <v>695</v>
      </c>
      <c r="J350" s="39">
        <v>0</v>
      </c>
      <c r="K350" s="40"/>
      <c r="L350" s="40"/>
      <c r="M350" s="40"/>
      <c r="N350" s="40"/>
      <c r="O350" s="40"/>
      <c r="P350" s="40"/>
      <c r="Q350" s="40"/>
      <c r="R350" s="40"/>
      <c r="S350" s="40"/>
      <c r="T350" s="40"/>
    </row>
    <row r="351" spans="1:20" ht="15.75">
      <c r="A351" s="13">
        <v>51835</v>
      </c>
      <c r="B351" s="48">
        <v>30</v>
      </c>
      <c r="C351" s="39">
        <v>122.58</v>
      </c>
      <c r="D351" s="39">
        <v>297.94099999999997</v>
      </c>
      <c r="E351" s="45">
        <v>729.47900000000004</v>
      </c>
      <c r="F351" s="39">
        <v>1150</v>
      </c>
      <c r="G351" s="39">
        <v>100</v>
      </c>
      <c r="H351" s="47">
        <v>600</v>
      </c>
      <c r="I351" s="39">
        <v>695</v>
      </c>
      <c r="J351" s="39">
        <v>50</v>
      </c>
      <c r="K351" s="40"/>
      <c r="L351" s="40"/>
      <c r="M351" s="40"/>
      <c r="N351" s="40"/>
      <c r="O351" s="40"/>
      <c r="P351" s="40"/>
      <c r="Q351" s="40"/>
      <c r="R351" s="40"/>
      <c r="S351" s="40"/>
      <c r="T351" s="40"/>
    </row>
    <row r="352" spans="1:20" ht="15.75">
      <c r="A352" s="13">
        <v>51866</v>
      </c>
      <c r="B352" s="48">
        <v>31</v>
      </c>
      <c r="C352" s="39">
        <v>122.58</v>
      </c>
      <c r="D352" s="39">
        <v>297.94099999999997</v>
      </c>
      <c r="E352" s="45">
        <v>729.47900000000004</v>
      </c>
      <c r="F352" s="39">
        <v>1150</v>
      </c>
      <c r="G352" s="39">
        <v>100</v>
      </c>
      <c r="H352" s="47">
        <v>600</v>
      </c>
      <c r="I352" s="39">
        <v>695</v>
      </c>
      <c r="J352" s="39">
        <v>50</v>
      </c>
      <c r="K352" s="40"/>
      <c r="L352" s="40"/>
      <c r="M352" s="40"/>
      <c r="N352" s="40"/>
      <c r="O352" s="40"/>
      <c r="P352" s="40"/>
      <c r="Q352" s="40"/>
      <c r="R352" s="40"/>
      <c r="S352" s="40"/>
      <c r="T352" s="40"/>
    </row>
    <row r="353" spans="1:20" ht="15.75">
      <c r="A353" s="13">
        <v>51897</v>
      </c>
      <c r="B353" s="48">
        <v>31</v>
      </c>
      <c r="C353" s="39">
        <v>122.58</v>
      </c>
      <c r="D353" s="39">
        <v>297.94099999999997</v>
      </c>
      <c r="E353" s="45">
        <v>729.47900000000004</v>
      </c>
      <c r="F353" s="39">
        <v>1150</v>
      </c>
      <c r="G353" s="39">
        <v>100</v>
      </c>
      <c r="H353" s="47">
        <v>600</v>
      </c>
      <c r="I353" s="39">
        <v>695</v>
      </c>
      <c r="J353" s="39">
        <v>50</v>
      </c>
      <c r="K353" s="40"/>
      <c r="L353" s="40"/>
      <c r="M353" s="40"/>
      <c r="N353" s="40"/>
      <c r="O353" s="40"/>
      <c r="P353" s="40"/>
      <c r="Q353" s="40"/>
      <c r="R353" s="40"/>
      <c r="S353" s="40"/>
      <c r="T353" s="40"/>
    </row>
    <row r="354" spans="1:20" ht="15.75">
      <c r="A354" s="13">
        <v>51925</v>
      </c>
      <c r="B354" s="48">
        <v>28</v>
      </c>
      <c r="C354" s="39">
        <v>122.58</v>
      </c>
      <c r="D354" s="39">
        <v>297.94099999999997</v>
      </c>
      <c r="E354" s="45">
        <v>729.47900000000004</v>
      </c>
      <c r="F354" s="39">
        <v>1150</v>
      </c>
      <c r="G354" s="39">
        <v>100</v>
      </c>
      <c r="H354" s="47">
        <v>600</v>
      </c>
      <c r="I354" s="39">
        <v>695</v>
      </c>
      <c r="J354" s="39">
        <v>50</v>
      </c>
      <c r="K354" s="40"/>
      <c r="L354" s="40"/>
      <c r="M354" s="40"/>
      <c r="N354" s="40"/>
      <c r="O354" s="40"/>
      <c r="P354" s="40"/>
      <c r="Q354" s="40"/>
      <c r="R354" s="40"/>
      <c r="S354" s="40"/>
      <c r="T354" s="40"/>
    </row>
    <row r="355" spans="1:20" ht="15.75">
      <c r="A355" s="13">
        <v>51956</v>
      </c>
      <c r="B355" s="48">
        <v>31</v>
      </c>
      <c r="C355" s="39">
        <v>122.58</v>
      </c>
      <c r="D355" s="39">
        <v>297.94099999999997</v>
      </c>
      <c r="E355" s="45">
        <v>729.47900000000004</v>
      </c>
      <c r="F355" s="39">
        <v>1150</v>
      </c>
      <c r="G355" s="39">
        <v>100</v>
      </c>
      <c r="H355" s="47">
        <v>600</v>
      </c>
      <c r="I355" s="39">
        <v>695</v>
      </c>
      <c r="J355" s="39">
        <v>50</v>
      </c>
      <c r="K355" s="40"/>
      <c r="L355" s="40"/>
      <c r="M355" s="40"/>
      <c r="N355" s="40"/>
      <c r="O355" s="40"/>
      <c r="P355" s="40"/>
      <c r="Q355" s="40"/>
      <c r="R355" s="40"/>
      <c r="S355" s="40"/>
      <c r="T355" s="40"/>
    </row>
    <row r="356" spans="1:20" ht="15.75">
      <c r="A356" s="13">
        <v>51986</v>
      </c>
      <c r="B356" s="48">
        <v>30</v>
      </c>
      <c r="C356" s="39">
        <v>141.29300000000001</v>
      </c>
      <c r="D356" s="39">
        <v>267.99299999999999</v>
      </c>
      <c r="E356" s="45">
        <v>829.71400000000006</v>
      </c>
      <c r="F356" s="39">
        <v>1239</v>
      </c>
      <c r="G356" s="39">
        <v>100</v>
      </c>
      <c r="H356" s="47">
        <v>600</v>
      </c>
      <c r="I356" s="39">
        <v>695</v>
      </c>
      <c r="J356" s="39">
        <v>50</v>
      </c>
      <c r="K356" s="40"/>
      <c r="L356" s="40"/>
      <c r="M356" s="40"/>
      <c r="N356" s="40"/>
      <c r="O356" s="40"/>
      <c r="P356" s="40"/>
      <c r="Q356" s="40"/>
      <c r="R356" s="40"/>
      <c r="S356" s="40"/>
      <c r="T356" s="40"/>
    </row>
    <row r="357" spans="1:20" ht="15.75">
      <c r="A357" s="13">
        <v>52017</v>
      </c>
      <c r="B357" s="48">
        <v>31</v>
      </c>
      <c r="C357" s="39">
        <v>194.20500000000001</v>
      </c>
      <c r="D357" s="39">
        <v>267.46600000000001</v>
      </c>
      <c r="E357" s="45">
        <v>812.32899999999995</v>
      </c>
      <c r="F357" s="39">
        <v>1274</v>
      </c>
      <c r="G357" s="39">
        <v>75</v>
      </c>
      <c r="H357" s="47">
        <v>600</v>
      </c>
      <c r="I357" s="39">
        <v>695</v>
      </c>
      <c r="J357" s="39">
        <v>50</v>
      </c>
      <c r="K357" s="40"/>
      <c r="L357" s="40"/>
      <c r="M357" s="40"/>
      <c r="N357" s="40"/>
      <c r="O357" s="40"/>
      <c r="P357" s="40"/>
      <c r="Q357" s="40"/>
      <c r="R357" s="40"/>
      <c r="S357" s="40"/>
      <c r="T357" s="40"/>
    </row>
    <row r="358" spans="1:20" ht="15.75">
      <c r="A358" s="13">
        <v>52047</v>
      </c>
      <c r="B358" s="48">
        <v>30</v>
      </c>
      <c r="C358" s="39">
        <v>194.20500000000001</v>
      </c>
      <c r="D358" s="39">
        <v>267.46600000000001</v>
      </c>
      <c r="E358" s="45">
        <v>812.32899999999995</v>
      </c>
      <c r="F358" s="39">
        <v>1274</v>
      </c>
      <c r="G358" s="39">
        <v>50</v>
      </c>
      <c r="H358" s="47">
        <v>600</v>
      </c>
      <c r="I358" s="39">
        <v>695</v>
      </c>
      <c r="J358" s="39">
        <v>50</v>
      </c>
      <c r="K358" s="40"/>
      <c r="L358" s="40"/>
      <c r="M358" s="40"/>
      <c r="N358" s="40"/>
      <c r="O358" s="40"/>
      <c r="P358" s="40"/>
      <c r="Q358" s="40"/>
      <c r="R358" s="40"/>
      <c r="S358" s="40"/>
      <c r="T358" s="40"/>
    </row>
    <row r="359" spans="1:20" ht="15.75">
      <c r="A359" s="13">
        <v>52078</v>
      </c>
      <c r="B359" s="48">
        <v>31</v>
      </c>
      <c r="C359" s="39">
        <v>194.20500000000001</v>
      </c>
      <c r="D359" s="39">
        <v>267.46600000000001</v>
      </c>
      <c r="E359" s="45">
        <v>812.32899999999995</v>
      </c>
      <c r="F359" s="39">
        <v>1274</v>
      </c>
      <c r="G359" s="39">
        <v>50</v>
      </c>
      <c r="H359" s="47">
        <v>600</v>
      </c>
      <c r="I359" s="39">
        <v>695</v>
      </c>
      <c r="J359" s="39">
        <v>0</v>
      </c>
      <c r="K359" s="40"/>
      <c r="L359" s="40"/>
      <c r="M359" s="40"/>
      <c r="N359" s="40"/>
      <c r="O359" s="40"/>
      <c r="P359" s="40"/>
      <c r="Q359" s="40"/>
      <c r="R359" s="40"/>
      <c r="S359" s="40"/>
      <c r="T359" s="40"/>
    </row>
    <row r="360" spans="1:20" ht="15.75">
      <c r="A360" s="13">
        <v>52109</v>
      </c>
      <c r="B360" s="48">
        <v>31</v>
      </c>
      <c r="C360" s="39">
        <v>194.20500000000001</v>
      </c>
      <c r="D360" s="39">
        <v>267.46600000000001</v>
      </c>
      <c r="E360" s="45">
        <v>812.32899999999995</v>
      </c>
      <c r="F360" s="39">
        <v>1274</v>
      </c>
      <c r="G360" s="39">
        <v>50</v>
      </c>
      <c r="H360" s="47">
        <v>600</v>
      </c>
      <c r="I360" s="39">
        <v>695</v>
      </c>
      <c r="J360" s="39">
        <v>0</v>
      </c>
      <c r="K360" s="40"/>
      <c r="L360" s="40"/>
      <c r="M360" s="40"/>
      <c r="N360" s="40"/>
      <c r="O360" s="40"/>
      <c r="P360" s="40"/>
      <c r="Q360" s="40"/>
      <c r="R360" s="40"/>
      <c r="S360" s="40"/>
      <c r="T360" s="40"/>
    </row>
    <row r="361" spans="1:20" ht="15.75">
      <c r="A361" s="13">
        <v>52139</v>
      </c>
      <c r="B361" s="48">
        <v>30</v>
      </c>
      <c r="C361" s="39">
        <v>194.20500000000001</v>
      </c>
      <c r="D361" s="39">
        <v>267.46600000000001</v>
      </c>
      <c r="E361" s="45">
        <v>812.32899999999995</v>
      </c>
      <c r="F361" s="39">
        <v>1274</v>
      </c>
      <c r="G361" s="39">
        <v>50</v>
      </c>
      <c r="H361" s="47">
        <v>600</v>
      </c>
      <c r="I361" s="39">
        <v>695</v>
      </c>
      <c r="J361" s="39">
        <v>0</v>
      </c>
      <c r="K361" s="40"/>
      <c r="L361" s="40"/>
      <c r="M361" s="40"/>
      <c r="N361" s="40"/>
      <c r="O361" s="40"/>
      <c r="P361" s="40"/>
      <c r="Q361" s="40"/>
      <c r="R361" s="40"/>
      <c r="S361" s="40"/>
      <c r="T361" s="40"/>
    </row>
    <row r="362" spans="1:20" ht="15.75">
      <c r="A362" s="13">
        <v>52170</v>
      </c>
      <c r="B362" s="48">
        <v>31</v>
      </c>
      <c r="C362" s="39">
        <v>131.881</v>
      </c>
      <c r="D362" s="39">
        <v>277.16699999999997</v>
      </c>
      <c r="E362" s="45">
        <v>829.952</v>
      </c>
      <c r="F362" s="39">
        <v>1239</v>
      </c>
      <c r="G362" s="39">
        <v>75</v>
      </c>
      <c r="H362" s="47">
        <v>600</v>
      </c>
      <c r="I362" s="39">
        <v>695</v>
      </c>
      <c r="J362" s="39">
        <v>0</v>
      </c>
      <c r="K362" s="40"/>
      <c r="L362" s="40"/>
      <c r="M362" s="40"/>
      <c r="N362" s="40"/>
      <c r="O362" s="40"/>
      <c r="P362" s="40"/>
      <c r="Q362" s="40"/>
      <c r="R362" s="40"/>
      <c r="S362" s="40"/>
      <c r="T362" s="40"/>
    </row>
    <row r="363" spans="1:20" ht="15.75">
      <c r="A363" s="13">
        <v>52200</v>
      </c>
      <c r="B363" s="48">
        <v>30</v>
      </c>
      <c r="C363" s="39">
        <v>122.58</v>
      </c>
      <c r="D363" s="39">
        <v>297.94099999999997</v>
      </c>
      <c r="E363" s="45">
        <v>729.47900000000004</v>
      </c>
      <c r="F363" s="39">
        <v>1150</v>
      </c>
      <c r="G363" s="39">
        <v>100</v>
      </c>
      <c r="H363" s="47">
        <v>600</v>
      </c>
      <c r="I363" s="39">
        <v>695</v>
      </c>
      <c r="J363" s="39">
        <v>50</v>
      </c>
      <c r="K363" s="40"/>
      <c r="L363" s="40"/>
      <c r="M363" s="40"/>
      <c r="N363" s="40"/>
      <c r="O363" s="40"/>
      <c r="P363" s="40"/>
      <c r="Q363" s="40"/>
      <c r="R363" s="40"/>
      <c r="S363" s="40"/>
      <c r="T363" s="40"/>
    </row>
    <row r="364" spans="1:20" ht="15.75">
      <c r="A364" s="13">
        <v>52231</v>
      </c>
      <c r="B364" s="48">
        <v>31</v>
      </c>
      <c r="C364" s="39">
        <v>122.58</v>
      </c>
      <c r="D364" s="39">
        <v>297.94099999999997</v>
      </c>
      <c r="E364" s="45">
        <v>729.47900000000004</v>
      </c>
      <c r="F364" s="39">
        <v>1150</v>
      </c>
      <c r="G364" s="39">
        <v>100</v>
      </c>
      <c r="H364" s="47">
        <v>600</v>
      </c>
      <c r="I364" s="39">
        <v>695</v>
      </c>
      <c r="J364" s="39">
        <v>50</v>
      </c>
      <c r="K364" s="40"/>
      <c r="L364" s="40"/>
      <c r="M364" s="40"/>
      <c r="N364" s="40"/>
      <c r="O364" s="40"/>
      <c r="P364" s="40"/>
      <c r="Q364" s="40"/>
      <c r="R364" s="40"/>
      <c r="S364" s="40"/>
      <c r="T364" s="40"/>
    </row>
    <row r="365" spans="1:20" ht="15.75">
      <c r="A365" s="13">
        <v>52262</v>
      </c>
      <c r="B365" s="48">
        <v>31</v>
      </c>
      <c r="C365" s="39">
        <v>122.58</v>
      </c>
      <c r="D365" s="39">
        <v>297.94099999999997</v>
      </c>
      <c r="E365" s="45">
        <v>729.47900000000004</v>
      </c>
      <c r="F365" s="39">
        <v>1150</v>
      </c>
      <c r="G365" s="39">
        <v>100</v>
      </c>
      <c r="H365" s="47">
        <v>600</v>
      </c>
      <c r="I365" s="39">
        <v>695</v>
      </c>
      <c r="J365" s="39">
        <v>50</v>
      </c>
      <c r="K365" s="40"/>
      <c r="L365" s="40"/>
      <c r="M365" s="40"/>
      <c r="N365" s="40"/>
      <c r="O365" s="40"/>
      <c r="P365" s="40"/>
      <c r="Q365" s="40"/>
      <c r="R365" s="40"/>
      <c r="S365" s="40"/>
      <c r="T365" s="40"/>
    </row>
    <row r="366" spans="1:20" ht="15.75">
      <c r="A366" s="13">
        <v>52290</v>
      </c>
      <c r="B366" s="48">
        <v>28</v>
      </c>
      <c r="C366" s="39">
        <v>122.58</v>
      </c>
      <c r="D366" s="39">
        <v>297.94099999999997</v>
      </c>
      <c r="E366" s="45">
        <v>729.47900000000004</v>
      </c>
      <c r="F366" s="39">
        <v>1150</v>
      </c>
      <c r="G366" s="39">
        <v>100</v>
      </c>
      <c r="H366" s="47">
        <v>600</v>
      </c>
      <c r="I366" s="39">
        <v>695</v>
      </c>
      <c r="J366" s="39">
        <v>50</v>
      </c>
      <c r="K366" s="40"/>
      <c r="L366" s="40"/>
      <c r="M366" s="40"/>
      <c r="N366" s="40"/>
      <c r="O366" s="40"/>
      <c r="P366" s="40"/>
      <c r="Q366" s="40"/>
      <c r="R366" s="40"/>
      <c r="S366" s="40"/>
      <c r="T366" s="40"/>
    </row>
    <row r="367" spans="1:20" ht="15.75">
      <c r="A367" s="13">
        <v>52321</v>
      </c>
      <c r="B367" s="48">
        <v>31</v>
      </c>
      <c r="C367" s="39">
        <v>122.58</v>
      </c>
      <c r="D367" s="39">
        <v>297.94099999999997</v>
      </c>
      <c r="E367" s="45">
        <v>729.47900000000004</v>
      </c>
      <c r="F367" s="39">
        <v>1150</v>
      </c>
      <c r="G367" s="39">
        <v>100</v>
      </c>
      <c r="H367" s="47">
        <v>600</v>
      </c>
      <c r="I367" s="39">
        <v>695</v>
      </c>
      <c r="J367" s="39">
        <v>50</v>
      </c>
      <c r="K367" s="40"/>
      <c r="L367" s="40"/>
      <c r="M367" s="40"/>
      <c r="N367" s="40"/>
      <c r="O367" s="40"/>
      <c r="P367" s="40"/>
      <c r="Q367" s="40"/>
      <c r="R367" s="40"/>
      <c r="S367" s="40"/>
      <c r="T367" s="40"/>
    </row>
    <row r="368" spans="1:20" ht="15.75">
      <c r="A368" s="13">
        <v>52351</v>
      </c>
      <c r="B368" s="48">
        <v>30</v>
      </c>
      <c r="C368" s="39">
        <v>141.29300000000001</v>
      </c>
      <c r="D368" s="39">
        <v>267.99299999999999</v>
      </c>
      <c r="E368" s="45">
        <v>829.71400000000006</v>
      </c>
      <c r="F368" s="39">
        <v>1239</v>
      </c>
      <c r="G368" s="39">
        <v>100</v>
      </c>
      <c r="H368" s="47">
        <v>600</v>
      </c>
      <c r="I368" s="39">
        <v>695</v>
      </c>
      <c r="J368" s="39">
        <v>50</v>
      </c>
      <c r="K368" s="40"/>
      <c r="L368" s="40"/>
      <c r="M368" s="40"/>
      <c r="N368" s="40"/>
      <c r="O368" s="40"/>
      <c r="P368" s="40"/>
      <c r="Q368" s="40"/>
      <c r="R368" s="40"/>
      <c r="S368" s="40"/>
      <c r="T368" s="40"/>
    </row>
    <row r="369" spans="1:20" ht="15.75">
      <c r="A369" s="13">
        <v>52382</v>
      </c>
      <c r="B369" s="48">
        <v>31</v>
      </c>
      <c r="C369" s="39">
        <v>194.20500000000001</v>
      </c>
      <c r="D369" s="39">
        <v>267.46600000000001</v>
      </c>
      <c r="E369" s="45">
        <v>812.32899999999995</v>
      </c>
      <c r="F369" s="39">
        <v>1274</v>
      </c>
      <c r="G369" s="39">
        <v>75</v>
      </c>
      <c r="H369" s="47">
        <v>600</v>
      </c>
      <c r="I369" s="39">
        <v>695</v>
      </c>
      <c r="J369" s="39">
        <v>50</v>
      </c>
      <c r="K369" s="40"/>
      <c r="L369" s="40"/>
      <c r="M369" s="40"/>
      <c r="N369" s="40"/>
      <c r="O369" s="40"/>
      <c r="P369" s="40"/>
      <c r="Q369" s="40"/>
      <c r="R369" s="40"/>
      <c r="S369" s="40"/>
      <c r="T369" s="40"/>
    </row>
    <row r="370" spans="1:20" ht="15.75">
      <c r="A370" s="13">
        <v>52412</v>
      </c>
      <c r="B370" s="48">
        <v>30</v>
      </c>
      <c r="C370" s="39">
        <v>194.20500000000001</v>
      </c>
      <c r="D370" s="39">
        <v>267.46600000000001</v>
      </c>
      <c r="E370" s="45">
        <v>812.32899999999995</v>
      </c>
      <c r="F370" s="39">
        <v>1274</v>
      </c>
      <c r="G370" s="39">
        <v>50</v>
      </c>
      <c r="H370" s="47">
        <v>600</v>
      </c>
      <c r="I370" s="39">
        <v>695</v>
      </c>
      <c r="J370" s="39">
        <v>50</v>
      </c>
      <c r="K370" s="40"/>
      <c r="L370" s="40"/>
      <c r="M370" s="40"/>
      <c r="N370" s="40"/>
      <c r="O370" s="40"/>
      <c r="P370" s="40"/>
      <c r="Q370" s="40"/>
      <c r="R370" s="40"/>
      <c r="S370" s="40"/>
      <c r="T370" s="40"/>
    </row>
    <row r="371" spans="1:20" ht="15.75">
      <c r="A371" s="13">
        <v>52443</v>
      </c>
      <c r="B371" s="48">
        <v>31</v>
      </c>
      <c r="C371" s="39">
        <v>194.20500000000001</v>
      </c>
      <c r="D371" s="39">
        <v>267.46600000000001</v>
      </c>
      <c r="E371" s="45">
        <v>812.32899999999995</v>
      </c>
      <c r="F371" s="39">
        <v>1274</v>
      </c>
      <c r="G371" s="39">
        <v>50</v>
      </c>
      <c r="H371" s="47">
        <v>600</v>
      </c>
      <c r="I371" s="39">
        <v>695</v>
      </c>
      <c r="J371" s="39">
        <v>0</v>
      </c>
      <c r="K371" s="40"/>
      <c r="L371" s="40"/>
      <c r="M371" s="40"/>
      <c r="N371" s="40"/>
      <c r="O371" s="40"/>
      <c r="P371" s="40"/>
      <c r="Q371" s="40"/>
      <c r="R371" s="40"/>
      <c r="S371" s="40"/>
      <c r="T371" s="40"/>
    </row>
    <row r="372" spans="1:20" ht="15.75">
      <c r="A372" s="13">
        <v>52474</v>
      </c>
      <c r="B372" s="48">
        <v>31</v>
      </c>
      <c r="C372" s="39">
        <v>194.20500000000001</v>
      </c>
      <c r="D372" s="39">
        <v>267.46600000000001</v>
      </c>
      <c r="E372" s="45">
        <v>812.32899999999995</v>
      </c>
      <c r="F372" s="39">
        <v>1274</v>
      </c>
      <c r="G372" s="39">
        <v>50</v>
      </c>
      <c r="H372" s="47">
        <v>600</v>
      </c>
      <c r="I372" s="39">
        <v>695</v>
      </c>
      <c r="J372" s="39">
        <v>0</v>
      </c>
      <c r="K372" s="40"/>
      <c r="L372" s="40"/>
      <c r="M372" s="40"/>
      <c r="N372" s="40"/>
      <c r="O372" s="40"/>
      <c r="P372" s="40"/>
      <c r="Q372" s="40"/>
      <c r="R372" s="40"/>
      <c r="S372" s="40"/>
      <c r="T372" s="40"/>
    </row>
    <row r="373" spans="1:20" ht="15.75">
      <c r="A373" s="13">
        <v>52504</v>
      </c>
      <c r="B373" s="48">
        <v>30</v>
      </c>
      <c r="C373" s="39">
        <v>194.20500000000001</v>
      </c>
      <c r="D373" s="39">
        <v>267.46600000000001</v>
      </c>
      <c r="E373" s="45">
        <v>812.32899999999995</v>
      </c>
      <c r="F373" s="39">
        <v>1274</v>
      </c>
      <c r="G373" s="39">
        <v>50</v>
      </c>
      <c r="H373" s="47">
        <v>600</v>
      </c>
      <c r="I373" s="39">
        <v>695</v>
      </c>
      <c r="J373" s="39">
        <v>0</v>
      </c>
      <c r="K373" s="40"/>
      <c r="L373" s="40"/>
      <c r="M373" s="40"/>
      <c r="N373" s="40"/>
      <c r="O373" s="40"/>
      <c r="P373" s="40"/>
      <c r="Q373" s="40"/>
      <c r="R373" s="40"/>
      <c r="S373" s="40"/>
      <c r="T373" s="40"/>
    </row>
    <row r="374" spans="1:20" ht="15.75">
      <c r="A374" s="13">
        <v>52535</v>
      </c>
      <c r="B374" s="48">
        <v>31</v>
      </c>
      <c r="C374" s="39">
        <v>131.881</v>
      </c>
      <c r="D374" s="39">
        <v>277.16699999999997</v>
      </c>
      <c r="E374" s="45">
        <v>829.952</v>
      </c>
      <c r="F374" s="39">
        <v>1239</v>
      </c>
      <c r="G374" s="39">
        <v>75</v>
      </c>
      <c r="H374" s="47">
        <v>600</v>
      </c>
      <c r="I374" s="39">
        <v>695</v>
      </c>
      <c r="J374" s="39">
        <v>0</v>
      </c>
      <c r="K374" s="40"/>
      <c r="L374" s="40"/>
      <c r="M374" s="40"/>
      <c r="N374" s="40"/>
      <c r="O374" s="40"/>
      <c r="P374" s="40"/>
      <c r="Q374" s="40"/>
      <c r="R374" s="40"/>
      <c r="S374" s="40"/>
      <c r="T374" s="40"/>
    </row>
    <row r="375" spans="1:20" ht="15.75">
      <c r="A375" s="13">
        <v>52565</v>
      </c>
      <c r="B375" s="48">
        <v>30</v>
      </c>
      <c r="C375" s="39">
        <v>122.58</v>
      </c>
      <c r="D375" s="39">
        <v>297.94099999999997</v>
      </c>
      <c r="E375" s="45">
        <v>729.47900000000004</v>
      </c>
      <c r="F375" s="39">
        <v>1150</v>
      </c>
      <c r="G375" s="39">
        <v>100</v>
      </c>
      <c r="H375" s="47">
        <v>600</v>
      </c>
      <c r="I375" s="39">
        <v>695</v>
      </c>
      <c r="J375" s="39">
        <v>50</v>
      </c>
      <c r="K375" s="40"/>
      <c r="L375" s="40"/>
      <c r="M375" s="40"/>
      <c r="N375" s="40"/>
      <c r="O375" s="40"/>
      <c r="P375" s="40"/>
      <c r="Q375" s="40"/>
      <c r="R375" s="40"/>
      <c r="S375" s="40"/>
      <c r="T375" s="40"/>
    </row>
    <row r="376" spans="1:20" ht="15.75">
      <c r="A376" s="13">
        <v>52596</v>
      </c>
      <c r="B376" s="48">
        <v>31</v>
      </c>
      <c r="C376" s="39">
        <v>122.58</v>
      </c>
      <c r="D376" s="39">
        <v>297.94099999999997</v>
      </c>
      <c r="E376" s="45">
        <v>729.47900000000004</v>
      </c>
      <c r="F376" s="39">
        <v>1150</v>
      </c>
      <c r="G376" s="39">
        <v>100</v>
      </c>
      <c r="H376" s="47">
        <v>600</v>
      </c>
      <c r="I376" s="39">
        <v>695</v>
      </c>
      <c r="J376" s="39">
        <v>50</v>
      </c>
      <c r="K376" s="40"/>
      <c r="L376" s="40"/>
      <c r="M376" s="40"/>
      <c r="N376" s="40"/>
      <c r="O376" s="40"/>
      <c r="P376" s="40"/>
      <c r="Q376" s="40"/>
      <c r="R376" s="40"/>
      <c r="S376" s="40"/>
      <c r="T376" s="40"/>
    </row>
    <row r="377" spans="1:20" ht="15.75">
      <c r="A377" s="13">
        <v>52627</v>
      </c>
      <c r="B377" s="48">
        <v>31</v>
      </c>
      <c r="C377" s="39">
        <v>122.58</v>
      </c>
      <c r="D377" s="39">
        <v>297.94099999999997</v>
      </c>
      <c r="E377" s="45">
        <v>729.47900000000004</v>
      </c>
      <c r="F377" s="39">
        <v>1150</v>
      </c>
      <c r="G377" s="39">
        <v>100</v>
      </c>
      <c r="H377" s="47">
        <v>600</v>
      </c>
      <c r="I377" s="39">
        <v>695</v>
      </c>
      <c r="J377" s="39">
        <v>50</v>
      </c>
      <c r="K377" s="40"/>
      <c r="L377" s="40"/>
      <c r="M377" s="40"/>
      <c r="N377" s="40"/>
      <c r="O377" s="40"/>
      <c r="P377" s="40"/>
      <c r="Q377" s="40"/>
      <c r="R377" s="40"/>
      <c r="S377" s="40"/>
      <c r="T377" s="40"/>
    </row>
    <row r="378" spans="1:20" ht="15.75">
      <c r="A378" s="13">
        <v>52655</v>
      </c>
      <c r="B378" s="48">
        <v>29</v>
      </c>
      <c r="C378" s="39">
        <v>122.58</v>
      </c>
      <c r="D378" s="39">
        <v>297.94099999999997</v>
      </c>
      <c r="E378" s="45">
        <v>729.47900000000004</v>
      </c>
      <c r="F378" s="39">
        <v>1150</v>
      </c>
      <c r="G378" s="39">
        <v>100</v>
      </c>
      <c r="H378" s="47">
        <v>600</v>
      </c>
      <c r="I378" s="39">
        <v>695</v>
      </c>
      <c r="J378" s="39">
        <v>50</v>
      </c>
      <c r="K378" s="40"/>
      <c r="L378" s="40"/>
      <c r="M378" s="40"/>
      <c r="N378" s="40"/>
      <c r="O378" s="40"/>
      <c r="P378" s="40"/>
      <c r="Q378" s="40"/>
      <c r="R378" s="40"/>
      <c r="S378" s="40"/>
      <c r="T378" s="40"/>
    </row>
    <row r="379" spans="1:20" ht="15.75">
      <c r="A379" s="13">
        <v>52687</v>
      </c>
      <c r="B379" s="48">
        <v>31</v>
      </c>
      <c r="C379" s="39">
        <v>122.58</v>
      </c>
      <c r="D379" s="39">
        <v>297.94099999999997</v>
      </c>
      <c r="E379" s="45">
        <v>729.47900000000004</v>
      </c>
      <c r="F379" s="39">
        <v>1150</v>
      </c>
      <c r="G379" s="39">
        <v>100</v>
      </c>
      <c r="H379" s="47">
        <v>600</v>
      </c>
      <c r="I379" s="39">
        <v>695</v>
      </c>
      <c r="J379" s="39">
        <v>50</v>
      </c>
      <c r="K379" s="40"/>
      <c r="L379" s="40"/>
      <c r="M379" s="40"/>
      <c r="N379" s="40"/>
      <c r="O379" s="40"/>
      <c r="P379" s="40"/>
      <c r="Q379" s="40"/>
      <c r="R379" s="40"/>
      <c r="S379" s="40"/>
      <c r="T379" s="40"/>
    </row>
    <row r="380" spans="1:20" ht="15.75">
      <c r="A380" s="13">
        <v>52717</v>
      </c>
      <c r="B380" s="48">
        <v>30</v>
      </c>
      <c r="C380" s="39">
        <v>141.29300000000001</v>
      </c>
      <c r="D380" s="39">
        <v>267.99299999999999</v>
      </c>
      <c r="E380" s="45">
        <v>829.71400000000006</v>
      </c>
      <c r="F380" s="39">
        <v>1239</v>
      </c>
      <c r="G380" s="39">
        <v>100</v>
      </c>
      <c r="H380" s="47">
        <v>600</v>
      </c>
      <c r="I380" s="39">
        <v>695</v>
      </c>
      <c r="J380" s="39">
        <v>50</v>
      </c>
      <c r="K380" s="40"/>
      <c r="L380" s="40"/>
      <c r="M380" s="40"/>
      <c r="N380" s="40"/>
      <c r="O380" s="40"/>
      <c r="P380" s="40"/>
      <c r="Q380" s="40"/>
      <c r="R380" s="40"/>
      <c r="S380" s="40"/>
      <c r="T380" s="40"/>
    </row>
    <row r="381" spans="1:20" ht="15.75">
      <c r="A381" s="13">
        <v>52748</v>
      </c>
      <c r="B381" s="48">
        <v>31</v>
      </c>
      <c r="C381" s="39">
        <v>194.20500000000001</v>
      </c>
      <c r="D381" s="39">
        <v>267.46600000000001</v>
      </c>
      <c r="E381" s="45">
        <v>812.32899999999995</v>
      </c>
      <c r="F381" s="39">
        <v>1274</v>
      </c>
      <c r="G381" s="39">
        <v>75</v>
      </c>
      <c r="H381" s="47">
        <v>600</v>
      </c>
      <c r="I381" s="39">
        <v>695</v>
      </c>
      <c r="J381" s="39">
        <v>50</v>
      </c>
      <c r="K381" s="40"/>
      <c r="L381" s="40"/>
      <c r="M381" s="40"/>
      <c r="N381" s="40"/>
      <c r="O381" s="40"/>
      <c r="P381" s="40"/>
      <c r="Q381" s="40"/>
      <c r="R381" s="40"/>
      <c r="S381" s="40"/>
      <c r="T381" s="40"/>
    </row>
    <row r="382" spans="1:20" ht="15.75">
      <c r="A382" s="13">
        <v>52778</v>
      </c>
      <c r="B382" s="48">
        <v>30</v>
      </c>
      <c r="C382" s="39">
        <v>194.20500000000001</v>
      </c>
      <c r="D382" s="39">
        <v>267.46600000000001</v>
      </c>
      <c r="E382" s="45">
        <v>812.32899999999995</v>
      </c>
      <c r="F382" s="39">
        <v>1274</v>
      </c>
      <c r="G382" s="39">
        <v>50</v>
      </c>
      <c r="H382" s="47">
        <v>600</v>
      </c>
      <c r="I382" s="39">
        <v>695</v>
      </c>
      <c r="J382" s="39">
        <v>50</v>
      </c>
      <c r="K382" s="40"/>
      <c r="L382" s="40"/>
      <c r="M382" s="40"/>
      <c r="N382" s="40"/>
      <c r="O382" s="40"/>
      <c r="P382" s="40"/>
      <c r="Q382" s="40"/>
      <c r="R382" s="40"/>
      <c r="S382" s="40"/>
      <c r="T382" s="40"/>
    </row>
    <row r="383" spans="1:20" ht="15.75">
      <c r="A383" s="13">
        <v>52809</v>
      </c>
      <c r="B383" s="48">
        <v>31</v>
      </c>
      <c r="C383" s="39">
        <v>194.20500000000001</v>
      </c>
      <c r="D383" s="39">
        <v>267.46600000000001</v>
      </c>
      <c r="E383" s="45">
        <v>812.32899999999995</v>
      </c>
      <c r="F383" s="39">
        <v>1274</v>
      </c>
      <c r="G383" s="39">
        <v>50</v>
      </c>
      <c r="H383" s="47">
        <v>600</v>
      </c>
      <c r="I383" s="39">
        <v>695</v>
      </c>
      <c r="J383" s="39">
        <v>0</v>
      </c>
      <c r="K383" s="40"/>
      <c r="L383" s="40"/>
      <c r="M383" s="40"/>
      <c r="N383" s="40"/>
      <c r="O383" s="40"/>
      <c r="P383" s="40"/>
      <c r="Q383" s="40"/>
      <c r="R383" s="40"/>
      <c r="S383" s="40"/>
      <c r="T383" s="40"/>
    </row>
    <row r="384" spans="1:20" ht="15.75">
      <c r="A384" s="13">
        <v>52840</v>
      </c>
      <c r="B384" s="48">
        <v>31</v>
      </c>
      <c r="C384" s="39">
        <v>194.20500000000001</v>
      </c>
      <c r="D384" s="39">
        <v>267.46600000000001</v>
      </c>
      <c r="E384" s="45">
        <v>812.32899999999995</v>
      </c>
      <c r="F384" s="39">
        <v>1274</v>
      </c>
      <c r="G384" s="39">
        <v>50</v>
      </c>
      <c r="H384" s="47">
        <v>600</v>
      </c>
      <c r="I384" s="39">
        <v>695</v>
      </c>
      <c r="J384" s="39">
        <v>0</v>
      </c>
      <c r="K384" s="40"/>
      <c r="L384" s="40"/>
      <c r="M384" s="40"/>
      <c r="N384" s="40"/>
      <c r="O384" s="40"/>
      <c r="P384" s="40"/>
      <c r="Q384" s="40"/>
      <c r="R384" s="40"/>
      <c r="S384" s="40"/>
      <c r="T384" s="40"/>
    </row>
    <row r="385" spans="1:20" ht="15.75">
      <c r="A385" s="13">
        <v>52870</v>
      </c>
      <c r="B385" s="48">
        <v>30</v>
      </c>
      <c r="C385" s="39">
        <v>194.20500000000001</v>
      </c>
      <c r="D385" s="39">
        <v>267.46600000000001</v>
      </c>
      <c r="E385" s="45">
        <v>812.32899999999995</v>
      </c>
      <c r="F385" s="39">
        <v>1274</v>
      </c>
      <c r="G385" s="39">
        <v>50</v>
      </c>
      <c r="H385" s="47">
        <v>600</v>
      </c>
      <c r="I385" s="39">
        <v>695</v>
      </c>
      <c r="J385" s="39">
        <v>0</v>
      </c>
      <c r="K385" s="40"/>
      <c r="L385" s="40"/>
      <c r="M385" s="40"/>
      <c r="N385" s="40"/>
      <c r="O385" s="40"/>
      <c r="P385" s="40"/>
      <c r="Q385" s="40"/>
      <c r="R385" s="40"/>
      <c r="S385" s="40"/>
      <c r="T385" s="40"/>
    </row>
    <row r="386" spans="1:20" ht="15.75">
      <c r="A386" s="13">
        <v>52901</v>
      </c>
      <c r="B386" s="48">
        <v>31</v>
      </c>
      <c r="C386" s="39">
        <v>131.881</v>
      </c>
      <c r="D386" s="39">
        <v>277.16699999999997</v>
      </c>
      <c r="E386" s="45">
        <v>829.952</v>
      </c>
      <c r="F386" s="39">
        <v>1239</v>
      </c>
      <c r="G386" s="39">
        <v>75</v>
      </c>
      <c r="H386" s="47">
        <v>600</v>
      </c>
      <c r="I386" s="39">
        <v>695</v>
      </c>
      <c r="J386" s="39">
        <v>0</v>
      </c>
      <c r="K386" s="40"/>
      <c r="L386" s="40"/>
      <c r="M386" s="40"/>
      <c r="N386" s="40"/>
      <c r="O386" s="40"/>
      <c r="P386" s="40"/>
      <c r="Q386" s="40"/>
      <c r="R386" s="40"/>
      <c r="S386" s="40"/>
      <c r="T386" s="40"/>
    </row>
    <row r="387" spans="1:20" ht="15.75">
      <c r="A387" s="13">
        <v>52931</v>
      </c>
      <c r="B387" s="48">
        <v>30</v>
      </c>
      <c r="C387" s="39">
        <v>122.58</v>
      </c>
      <c r="D387" s="39">
        <v>297.94099999999997</v>
      </c>
      <c r="E387" s="45">
        <v>729.47900000000004</v>
      </c>
      <c r="F387" s="39">
        <v>1150</v>
      </c>
      <c r="G387" s="39">
        <v>100</v>
      </c>
      <c r="H387" s="47">
        <v>600</v>
      </c>
      <c r="I387" s="39">
        <v>695</v>
      </c>
      <c r="J387" s="39">
        <v>50</v>
      </c>
      <c r="K387" s="40"/>
      <c r="L387" s="40"/>
      <c r="M387" s="40"/>
      <c r="N387" s="40"/>
      <c r="O387" s="40"/>
      <c r="P387" s="40"/>
      <c r="Q387" s="40"/>
      <c r="R387" s="40"/>
      <c r="S387" s="40"/>
      <c r="T387" s="40"/>
    </row>
    <row r="388" spans="1:20" ht="15.75">
      <c r="A388" s="13">
        <v>52962</v>
      </c>
      <c r="B388" s="48">
        <v>31</v>
      </c>
      <c r="C388" s="39">
        <v>122.58</v>
      </c>
      <c r="D388" s="39">
        <v>297.94099999999997</v>
      </c>
      <c r="E388" s="45">
        <v>729.47900000000004</v>
      </c>
      <c r="F388" s="39">
        <v>1150</v>
      </c>
      <c r="G388" s="39">
        <v>100</v>
      </c>
      <c r="H388" s="47">
        <v>600</v>
      </c>
      <c r="I388" s="39">
        <v>695</v>
      </c>
      <c r="J388" s="39">
        <v>50</v>
      </c>
      <c r="K388" s="40"/>
      <c r="L388" s="40"/>
      <c r="M388" s="40"/>
      <c r="N388" s="40"/>
      <c r="O388" s="40"/>
      <c r="P388" s="40"/>
      <c r="Q388" s="40"/>
      <c r="R388" s="40"/>
      <c r="S388" s="40"/>
      <c r="T388" s="40"/>
    </row>
    <row r="389" spans="1:20" ht="15.75">
      <c r="A389" s="13">
        <v>52993</v>
      </c>
      <c r="B389" s="48">
        <v>31</v>
      </c>
      <c r="C389" s="39">
        <v>122.58</v>
      </c>
      <c r="D389" s="39">
        <v>297.94099999999997</v>
      </c>
      <c r="E389" s="45">
        <v>729.47900000000004</v>
      </c>
      <c r="F389" s="39">
        <v>1150</v>
      </c>
      <c r="G389" s="39">
        <v>100</v>
      </c>
      <c r="H389" s="47">
        <v>600</v>
      </c>
      <c r="I389" s="39">
        <v>695</v>
      </c>
      <c r="J389" s="39">
        <v>50</v>
      </c>
      <c r="K389" s="40"/>
      <c r="L389" s="40"/>
      <c r="M389" s="40"/>
      <c r="N389" s="40"/>
      <c r="O389" s="40"/>
      <c r="P389" s="40"/>
      <c r="Q389" s="40"/>
      <c r="R389" s="40"/>
      <c r="S389" s="40"/>
      <c r="T389" s="40"/>
    </row>
    <row r="390" spans="1:20" ht="15.75">
      <c r="A390" s="13">
        <v>53021</v>
      </c>
      <c r="B390" s="48">
        <v>28</v>
      </c>
      <c r="C390" s="39">
        <v>122.58</v>
      </c>
      <c r="D390" s="39">
        <v>297.94099999999997</v>
      </c>
      <c r="E390" s="45">
        <v>729.47900000000004</v>
      </c>
      <c r="F390" s="39">
        <v>1150</v>
      </c>
      <c r="G390" s="39">
        <v>100</v>
      </c>
      <c r="H390" s="47">
        <v>600</v>
      </c>
      <c r="I390" s="39">
        <v>695</v>
      </c>
      <c r="J390" s="39">
        <v>50</v>
      </c>
      <c r="K390" s="40"/>
      <c r="L390" s="40"/>
      <c r="M390" s="40"/>
      <c r="N390" s="40"/>
      <c r="O390" s="40"/>
      <c r="P390" s="40"/>
      <c r="Q390" s="40"/>
      <c r="R390" s="40"/>
      <c r="S390" s="40"/>
      <c r="T390" s="40"/>
    </row>
    <row r="391" spans="1:20" ht="15.75">
      <c r="A391" s="13">
        <v>53052</v>
      </c>
      <c r="B391" s="48">
        <v>31</v>
      </c>
      <c r="C391" s="39">
        <v>122.58</v>
      </c>
      <c r="D391" s="39">
        <v>297.94099999999997</v>
      </c>
      <c r="E391" s="45">
        <v>729.47900000000004</v>
      </c>
      <c r="F391" s="39">
        <v>1150</v>
      </c>
      <c r="G391" s="39">
        <v>100</v>
      </c>
      <c r="H391" s="47">
        <v>600</v>
      </c>
      <c r="I391" s="39">
        <v>695</v>
      </c>
      <c r="J391" s="39">
        <v>50</v>
      </c>
      <c r="K391" s="40"/>
      <c r="L391" s="40"/>
      <c r="M391" s="40"/>
      <c r="N391" s="40"/>
      <c r="O391" s="40"/>
      <c r="P391" s="40"/>
      <c r="Q391" s="40"/>
      <c r="R391" s="40"/>
      <c r="S391" s="40"/>
      <c r="T391" s="40"/>
    </row>
    <row r="392" spans="1:20" ht="15.75">
      <c r="A392" s="13">
        <v>53082</v>
      </c>
      <c r="B392" s="48">
        <v>30</v>
      </c>
      <c r="C392" s="39">
        <v>141.29300000000001</v>
      </c>
      <c r="D392" s="39">
        <v>267.99299999999999</v>
      </c>
      <c r="E392" s="45">
        <v>829.71400000000006</v>
      </c>
      <c r="F392" s="39">
        <v>1239</v>
      </c>
      <c r="G392" s="39">
        <v>100</v>
      </c>
      <c r="H392" s="47">
        <v>600</v>
      </c>
      <c r="I392" s="39">
        <v>695</v>
      </c>
      <c r="J392" s="39">
        <v>50</v>
      </c>
      <c r="K392" s="40"/>
      <c r="L392" s="40"/>
      <c r="M392" s="40"/>
      <c r="N392" s="40"/>
      <c r="O392" s="40"/>
      <c r="P392" s="40"/>
      <c r="Q392" s="40"/>
      <c r="R392" s="40"/>
      <c r="S392" s="40"/>
      <c r="T392" s="40"/>
    </row>
    <row r="393" spans="1:20" ht="15.75">
      <c r="A393" s="13">
        <v>53113</v>
      </c>
      <c r="B393" s="48">
        <v>31</v>
      </c>
      <c r="C393" s="39">
        <v>194.20500000000001</v>
      </c>
      <c r="D393" s="39">
        <v>267.46600000000001</v>
      </c>
      <c r="E393" s="45">
        <v>812.32899999999995</v>
      </c>
      <c r="F393" s="39">
        <v>1274</v>
      </c>
      <c r="G393" s="39">
        <v>75</v>
      </c>
      <c r="H393" s="47">
        <v>600</v>
      </c>
      <c r="I393" s="39">
        <v>695</v>
      </c>
      <c r="J393" s="39">
        <v>50</v>
      </c>
      <c r="K393" s="40"/>
      <c r="L393" s="40"/>
      <c r="M393" s="40"/>
      <c r="N393" s="40"/>
      <c r="O393" s="40"/>
      <c r="P393" s="40"/>
      <c r="Q393" s="40"/>
      <c r="R393" s="40"/>
      <c r="S393" s="40"/>
      <c r="T393" s="40"/>
    </row>
    <row r="394" spans="1:20" ht="15.75">
      <c r="A394" s="13">
        <v>53143</v>
      </c>
      <c r="B394" s="48">
        <v>30</v>
      </c>
      <c r="C394" s="39">
        <v>194.20500000000001</v>
      </c>
      <c r="D394" s="39">
        <v>267.46600000000001</v>
      </c>
      <c r="E394" s="45">
        <v>812.32899999999995</v>
      </c>
      <c r="F394" s="39">
        <v>1274</v>
      </c>
      <c r="G394" s="39">
        <v>50</v>
      </c>
      <c r="H394" s="47">
        <v>600</v>
      </c>
      <c r="I394" s="39">
        <v>695</v>
      </c>
      <c r="J394" s="39">
        <v>50</v>
      </c>
      <c r="K394" s="40"/>
      <c r="L394" s="40"/>
      <c r="M394" s="40"/>
      <c r="N394" s="40"/>
      <c r="O394" s="40"/>
      <c r="P394" s="40"/>
      <c r="Q394" s="40"/>
      <c r="R394" s="40"/>
      <c r="S394" s="40"/>
      <c r="T394" s="40"/>
    </row>
    <row r="395" spans="1:20" ht="15.75">
      <c r="A395" s="13">
        <v>53174</v>
      </c>
      <c r="B395" s="48">
        <v>31</v>
      </c>
      <c r="C395" s="39">
        <v>194.20500000000001</v>
      </c>
      <c r="D395" s="39">
        <v>267.46600000000001</v>
      </c>
      <c r="E395" s="45">
        <v>812.32899999999995</v>
      </c>
      <c r="F395" s="39">
        <v>1274</v>
      </c>
      <c r="G395" s="39">
        <v>50</v>
      </c>
      <c r="H395" s="47">
        <v>600</v>
      </c>
      <c r="I395" s="39">
        <v>695</v>
      </c>
      <c r="J395" s="39">
        <v>0</v>
      </c>
      <c r="K395" s="40"/>
      <c r="L395" s="40"/>
      <c r="M395" s="40"/>
      <c r="N395" s="40"/>
      <c r="O395" s="40"/>
      <c r="P395" s="40"/>
      <c r="Q395" s="40"/>
      <c r="R395" s="40"/>
      <c r="S395" s="40"/>
      <c r="T395" s="40"/>
    </row>
    <row r="396" spans="1:20" ht="15.75">
      <c r="A396" s="13">
        <v>53205</v>
      </c>
      <c r="B396" s="48">
        <v>31</v>
      </c>
      <c r="C396" s="39">
        <v>194.20500000000001</v>
      </c>
      <c r="D396" s="39">
        <v>267.46600000000001</v>
      </c>
      <c r="E396" s="45">
        <v>812.32899999999995</v>
      </c>
      <c r="F396" s="39">
        <v>1274</v>
      </c>
      <c r="G396" s="39">
        <v>50</v>
      </c>
      <c r="H396" s="47">
        <v>600</v>
      </c>
      <c r="I396" s="39">
        <v>695</v>
      </c>
      <c r="J396" s="39">
        <v>0</v>
      </c>
      <c r="K396" s="40"/>
      <c r="L396" s="40"/>
      <c r="M396" s="40"/>
      <c r="N396" s="40"/>
      <c r="O396" s="40"/>
      <c r="P396" s="40"/>
      <c r="Q396" s="40"/>
      <c r="R396" s="40"/>
      <c r="S396" s="40"/>
      <c r="T396" s="40"/>
    </row>
    <row r="397" spans="1:20" ht="15.75">
      <c r="A397" s="13">
        <v>53235</v>
      </c>
      <c r="B397" s="48">
        <v>30</v>
      </c>
      <c r="C397" s="39">
        <v>194.20500000000001</v>
      </c>
      <c r="D397" s="39">
        <v>267.46600000000001</v>
      </c>
      <c r="E397" s="45">
        <v>812.32899999999995</v>
      </c>
      <c r="F397" s="39">
        <v>1274</v>
      </c>
      <c r="G397" s="39">
        <v>50</v>
      </c>
      <c r="H397" s="47">
        <v>600</v>
      </c>
      <c r="I397" s="39">
        <v>695</v>
      </c>
      <c r="J397" s="39">
        <v>0</v>
      </c>
      <c r="K397" s="40"/>
      <c r="L397" s="40"/>
      <c r="M397" s="40"/>
      <c r="N397" s="40"/>
      <c r="O397" s="40"/>
      <c r="P397" s="40"/>
      <c r="Q397" s="40"/>
      <c r="R397" s="40"/>
      <c r="S397" s="40"/>
      <c r="T397" s="40"/>
    </row>
    <row r="398" spans="1:20" ht="15.75">
      <c r="A398" s="13">
        <v>53266</v>
      </c>
      <c r="B398" s="48">
        <v>31</v>
      </c>
      <c r="C398" s="39">
        <v>131.881</v>
      </c>
      <c r="D398" s="39">
        <v>277.16699999999997</v>
      </c>
      <c r="E398" s="45">
        <v>829.952</v>
      </c>
      <c r="F398" s="39">
        <v>1239</v>
      </c>
      <c r="G398" s="39">
        <v>75</v>
      </c>
      <c r="H398" s="47">
        <v>600</v>
      </c>
      <c r="I398" s="39">
        <v>695</v>
      </c>
      <c r="J398" s="39">
        <v>0</v>
      </c>
      <c r="K398" s="40"/>
      <c r="L398" s="40"/>
      <c r="M398" s="40"/>
      <c r="N398" s="40"/>
      <c r="O398" s="40"/>
      <c r="P398" s="40"/>
      <c r="Q398" s="40"/>
      <c r="R398" s="40"/>
      <c r="S398" s="40"/>
      <c r="T398" s="40"/>
    </row>
    <row r="399" spans="1:20" ht="15.75">
      <c r="A399" s="13">
        <v>53296</v>
      </c>
      <c r="B399" s="48">
        <v>30</v>
      </c>
      <c r="C399" s="39">
        <v>122.58</v>
      </c>
      <c r="D399" s="39">
        <v>297.94099999999997</v>
      </c>
      <c r="E399" s="45">
        <v>729.47900000000004</v>
      </c>
      <c r="F399" s="39">
        <v>1150</v>
      </c>
      <c r="G399" s="39">
        <v>100</v>
      </c>
      <c r="H399" s="47">
        <v>600</v>
      </c>
      <c r="I399" s="39">
        <v>695</v>
      </c>
      <c r="J399" s="39">
        <v>50</v>
      </c>
      <c r="K399" s="40"/>
      <c r="L399" s="40"/>
      <c r="M399" s="40"/>
      <c r="N399" s="40"/>
      <c r="O399" s="40"/>
      <c r="P399" s="40"/>
      <c r="Q399" s="40"/>
      <c r="R399" s="40"/>
      <c r="S399" s="40"/>
      <c r="T399" s="40"/>
    </row>
    <row r="400" spans="1:20" ht="15.75">
      <c r="A400" s="13">
        <v>53327</v>
      </c>
      <c r="B400" s="48">
        <v>31</v>
      </c>
      <c r="C400" s="39">
        <v>122.58</v>
      </c>
      <c r="D400" s="39">
        <v>297.94099999999997</v>
      </c>
      <c r="E400" s="45">
        <v>729.47900000000004</v>
      </c>
      <c r="F400" s="39">
        <v>1150</v>
      </c>
      <c r="G400" s="39">
        <v>100</v>
      </c>
      <c r="H400" s="47">
        <v>600</v>
      </c>
      <c r="I400" s="39">
        <v>695</v>
      </c>
      <c r="J400" s="39">
        <v>50</v>
      </c>
      <c r="K400" s="40"/>
      <c r="L400" s="40"/>
      <c r="M400" s="40"/>
      <c r="N400" s="40"/>
      <c r="O400" s="40"/>
      <c r="P400" s="40"/>
      <c r="Q400" s="40"/>
      <c r="R400" s="40"/>
      <c r="S400" s="40"/>
      <c r="T400" s="40"/>
    </row>
    <row r="401" spans="1:20" ht="15.75">
      <c r="A401" s="13">
        <v>53358</v>
      </c>
      <c r="B401" s="48">
        <v>31</v>
      </c>
      <c r="C401" s="39">
        <v>122.58</v>
      </c>
      <c r="D401" s="39">
        <v>297.94099999999997</v>
      </c>
      <c r="E401" s="45">
        <v>729.47900000000004</v>
      </c>
      <c r="F401" s="39">
        <v>1150</v>
      </c>
      <c r="G401" s="39">
        <v>100</v>
      </c>
      <c r="H401" s="47">
        <v>600</v>
      </c>
      <c r="I401" s="39">
        <v>695</v>
      </c>
      <c r="J401" s="39">
        <v>50</v>
      </c>
      <c r="K401" s="40"/>
      <c r="L401" s="40"/>
      <c r="M401" s="40"/>
      <c r="N401" s="40"/>
      <c r="O401" s="40"/>
      <c r="P401" s="40"/>
      <c r="Q401" s="40"/>
      <c r="R401" s="40"/>
      <c r="S401" s="40"/>
      <c r="T401" s="40"/>
    </row>
    <row r="402" spans="1:20" ht="15.75">
      <c r="A402" s="13">
        <v>53386</v>
      </c>
      <c r="B402" s="48">
        <v>28</v>
      </c>
      <c r="C402" s="39">
        <v>122.58</v>
      </c>
      <c r="D402" s="39">
        <v>297.94099999999997</v>
      </c>
      <c r="E402" s="45">
        <v>729.47900000000004</v>
      </c>
      <c r="F402" s="39">
        <v>1150</v>
      </c>
      <c r="G402" s="39">
        <v>100</v>
      </c>
      <c r="H402" s="47">
        <v>600</v>
      </c>
      <c r="I402" s="39">
        <v>695</v>
      </c>
      <c r="J402" s="39">
        <v>50</v>
      </c>
      <c r="K402" s="40"/>
      <c r="L402" s="40"/>
      <c r="M402" s="40"/>
      <c r="N402" s="40"/>
      <c r="O402" s="40"/>
      <c r="P402" s="40"/>
      <c r="Q402" s="40"/>
      <c r="R402" s="40"/>
      <c r="S402" s="40"/>
      <c r="T402" s="40"/>
    </row>
    <row r="403" spans="1:20" ht="15.75">
      <c r="A403" s="13">
        <v>53417</v>
      </c>
      <c r="B403" s="48">
        <v>31</v>
      </c>
      <c r="C403" s="39">
        <v>122.58</v>
      </c>
      <c r="D403" s="39">
        <v>297.94099999999997</v>
      </c>
      <c r="E403" s="45">
        <v>729.47900000000004</v>
      </c>
      <c r="F403" s="39">
        <v>1150</v>
      </c>
      <c r="G403" s="39">
        <v>100</v>
      </c>
      <c r="H403" s="47">
        <v>600</v>
      </c>
      <c r="I403" s="39">
        <v>695</v>
      </c>
      <c r="J403" s="39">
        <v>50</v>
      </c>
      <c r="K403" s="40"/>
      <c r="L403" s="40"/>
      <c r="M403" s="40"/>
      <c r="N403" s="40"/>
      <c r="O403" s="40"/>
      <c r="P403" s="40"/>
      <c r="Q403" s="40"/>
      <c r="R403" s="40"/>
      <c r="S403" s="40"/>
      <c r="T403" s="40"/>
    </row>
    <row r="404" spans="1:20" ht="15.75">
      <c r="A404" s="13">
        <v>53447</v>
      </c>
      <c r="B404" s="48">
        <v>30</v>
      </c>
      <c r="C404" s="39">
        <v>141.29300000000001</v>
      </c>
      <c r="D404" s="39">
        <v>267.99299999999999</v>
      </c>
      <c r="E404" s="45">
        <v>829.71400000000006</v>
      </c>
      <c r="F404" s="39">
        <v>1239</v>
      </c>
      <c r="G404" s="39">
        <v>100</v>
      </c>
      <c r="H404" s="47">
        <v>600</v>
      </c>
      <c r="I404" s="39">
        <v>695</v>
      </c>
      <c r="J404" s="39">
        <v>50</v>
      </c>
      <c r="K404" s="40"/>
      <c r="L404" s="40"/>
      <c r="M404" s="40"/>
      <c r="N404" s="40"/>
      <c r="O404" s="40"/>
      <c r="P404" s="40"/>
      <c r="Q404" s="40"/>
      <c r="R404" s="40"/>
      <c r="S404" s="40"/>
      <c r="T404" s="40"/>
    </row>
    <row r="405" spans="1:20" ht="15.75">
      <c r="A405" s="13">
        <v>53478</v>
      </c>
      <c r="B405" s="48">
        <v>31</v>
      </c>
      <c r="C405" s="39">
        <v>194.20500000000001</v>
      </c>
      <c r="D405" s="39">
        <v>267.46600000000001</v>
      </c>
      <c r="E405" s="45">
        <v>812.32899999999995</v>
      </c>
      <c r="F405" s="39">
        <v>1274</v>
      </c>
      <c r="G405" s="39">
        <v>75</v>
      </c>
      <c r="H405" s="47">
        <v>600</v>
      </c>
      <c r="I405" s="39">
        <v>695</v>
      </c>
      <c r="J405" s="39">
        <v>50</v>
      </c>
      <c r="K405" s="40"/>
      <c r="L405" s="40"/>
      <c r="M405" s="40"/>
      <c r="N405" s="40"/>
      <c r="O405" s="40"/>
      <c r="P405" s="40"/>
      <c r="Q405" s="40"/>
      <c r="R405" s="40"/>
      <c r="S405" s="40"/>
      <c r="T405" s="40"/>
    </row>
    <row r="406" spans="1:20" ht="15.75">
      <c r="A406" s="13">
        <v>53508</v>
      </c>
      <c r="B406" s="48">
        <v>30</v>
      </c>
      <c r="C406" s="39">
        <v>194.20500000000001</v>
      </c>
      <c r="D406" s="39">
        <v>267.46600000000001</v>
      </c>
      <c r="E406" s="45">
        <v>812.32899999999995</v>
      </c>
      <c r="F406" s="39">
        <v>1274</v>
      </c>
      <c r="G406" s="39">
        <v>50</v>
      </c>
      <c r="H406" s="47">
        <v>600</v>
      </c>
      <c r="I406" s="39">
        <v>695</v>
      </c>
      <c r="J406" s="39">
        <v>50</v>
      </c>
      <c r="K406" s="40"/>
      <c r="L406" s="40"/>
      <c r="M406" s="40"/>
      <c r="N406" s="40"/>
      <c r="O406" s="40"/>
      <c r="P406" s="40"/>
      <c r="Q406" s="40"/>
      <c r="R406" s="40"/>
      <c r="S406" s="40"/>
      <c r="T406" s="40"/>
    </row>
    <row r="407" spans="1:20" ht="15.75">
      <c r="A407" s="13">
        <v>53539</v>
      </c>
      <c r="B407" s="48">
        <v>31</v>
      </c>
      <c r="C407" s="39">
        <v>194.20500000000001</v>
      </c>
      <c r="D407" s="39">
        <v>267.46600000000001</v>
      </c>
      <c r="E407" s="45">
        <v>812.32899999999995</v>
      </c>
      <c r="F407" s="39">
        <v>1274</v>
      </c>
      <c r="G407" s="39">
        <v>50</v>
      </c>
      <c r="H407" s="47">
        <v>600</v>
      </c>
      <c r="I407" s="39">
        <v>695</v>
      </c>
      <c r="J407" s="39">
        <v>0</v>
      </c>
      <c r="K407" s="40"/>
      <c r="L407" s="40"/>
      <c r="M407" s="40"/>
      <c r="N407" s="40"/>
      <c r="O407" s="40"/>
      <c r="P407" s="40"/>
      <c r="Q407" s="40"/>
      <c r="R407" s="40"/>
      <c r="S407" s="40"/>
      <c r="T407" s="40"/>
    </row>
    <row r="408" spans="1:20" ht="15.75">
      <c r="A408" s="13">
        <v>53570</v>
      </c>
      <c r="B408" s="48">
        <v>31</v>
      </c>
      <c r="C408" s="39">
        <v>194.20500000000001</v>
      </c>
      <c r="D408" s="39">
        <v>267.46600000000001</v>
      </c>
      <c r="E408" s="45">
        <v>812.32899999999995</v>
      </c>
      <c r="F408" s="39">
        <v>1274</v>
      </c>
      <c r="G408" s="39">
        <v>50</v>
      </c>
      <c r="H408" s="47">
        <v>600</v>
      </c>
      <c r="I408" s="39">
        <v>695</v>
      </c>
      <c r="J408" s="39">
        <v>0</v>
      </c>
      <c r="K408" s="40"/>
      <c r="L408" s="40"/>
      <c r="M408" s="40"/>
      <c r="N408" s="40"/>
      <c r="O408" s="40"/>
      <c r="P408" s="40"/>
      <c r="Q408" s="40"/>
      <c r="R408" s="40"/>
      <c r="S408" s="40"/>
      <c r="T408" s="40"/>
    </row>
    <row r="409" spans="1:20" ht="15.75">
      <c r="A409" s="13">
        <v>53600</v>
      </c>
      <c r="B409" s="48">
        <v>30</v>
      </c>
      <c r="C409" s="39">
        <v>194.20500000000001</v>
      </c>
      <c r="D409" s="39">
        <v>267.46600000000001</v>
      </c>
      <c r="E409" s="45">
        <v>812.32899999999995</v>
      </c>
      <c r="F409" s="39">
        <v>1274</v>
      </c>
      <c r="G409" s="39">
        <v>50</v>
      </c>
      <c r="H409" s="47">
        <v>600</v>
      </c>
      <c r="I409" s="39">
        <v>695</v>
      </c>
      <c r="J409" s="39">
        <v>0</v>
      </c>
      <c r="K409" s="40"/>
      <c r="L409" s="40"/>
      <c r="M409" s="40"/>
      <c r="N409" s="40"/>
      <c r="O409" s="40"/>
      <c r="P409" s="40"/>
      <c r="Q409" s="40"/>
      <c r="R409" s="40"/>
      <c r="S409" s="40"/>
      <c r="T409" s="40"/>
    </row>
    <row r="410" spans="1:20" ht="15.75">
      <c r="A410" s="13">
        <v>53631</v>
      </c>
      <c r="B410" s="48">
        <v>31</v>
      </c>
      <c r="C410" s="39">
        <v>131.881</v>
      </c>
      <c r="D410" s="39">
        <v>277.16699999999997</v>
      </c>
      <c r="E410" s="45">
        <v>829.952</v>
      </c>
      <c r="F410" s="39">
        <v>1239</v>
      </c>
      <c r="G410" s="39">
        <v>75</v>
      </c>
      <c r="H410" s="47">
        <v>600</v>
      </c>
      <c r="I410" s="39">
        <v>695</v>
      </c>
      <c r="J410" s="39">
        <v>0</v>
      </c>
      <c r="K410" s="40"/>
      <c r="L410" s="40"/>
      <c r="M410" s="40"/>
      <c r="N410" s="40"/>
      <c r="O410" s="40"/>
      <c r="P410" s="40"/>
      <c r="Q410" s="40"/>
      <c r="R410" s="40"/>
      <c r="S410" s="40"/>
      <c r="T410" s="40"/>
    </row>
    <row r="411" spans="1:20" ht="15.75">
      <c r="A411" s="13">
        <v>53661</v>
      </c>
      <c r="B411" s="48">
        <v>30</v>
      </c>
      <c r="C411" s="39">
        <v>122.58</v>
      </c>
      <c r="D411" s="39">
        <v>297.94099999999997</v>
      </c>
      <c r="E411" s="45">
        <v>729.47900000000004</v>
      </c>
      <c r="F411" s="39">
        <v>1150</v>
      </c>
      <c r="G411" s="39">
        <v>100</v>
      </c>
      <c r="H411" s="47">
        <v>600</v>
      </c>
      <c r="I411" s="39">
        <v>695</v>
      </c>
      <c r="J411" s="39">
        <v>50</v>
      </c>
      <c r="K411" s="40"/>
      <c r="L411" s="40"/>
      <c r="M411" s="40"/>
      <c r="N411" s="40"/>
      <c r="O411" s="40"/>
      <c r="P411" s="40"/>
      <c r="Q411" s="40"/>
      <c r="R411" s="40"/>
      <c r="S411" s="40"/>
      <c r="T411" s="40"/>
    </row>
    <row r="412" spans="1:20" ht="15.75">
      <c r="A412" s="13">
        <v>53692</v>
      </c>
      <c r="B412" s="48">
        <v>31</v>
      </c>
      <c r="C412" s="39">
        <v>122.58</v>
      </c>
      <c r="D412" s="39">
        <v>297.94099999999997</v>
      </c>
      <c r="E412" s="45">
        <v>729.47900000000004</v>
      </c>
      <c r="F412" s="39">
        <v>1150</v>
      </c>
      <c r="G412" s="39">
        <v>100</v>
      </c>
      <c r="H412" s="47">
        <v>600</v>
      </c>
      <c r="I412" s="39">
        <v>695</v>
      </c>
      <c r="J412" s="39">
        <v>50</v>
      </c>
      <c r="K412" s="40"/>
      <c r="L412" s="40"/>
      <c r="M412" s="40"/>
      <c r="N412" s="40"/>
      <c r="O412" s="40"/>
      <c r="P412" s="40"/>
      <c r="Q412" s="40"/>
      <c r="R412" s="40"/>
      <c r="S412" s="40"/>
      <c r="T412" s="40"/>
    </row>
    <row r="413" spans="1:20" ht="15.75">
      <c r="A413" s="13">
        <v>53723</v>
      </c>
      <c r="B413" s="48">
        <v>31</v>
      </c>
      <c r="C413" s="39">
        <v>122.58</v>
      </c>
      <c r="D413" s="39">
        <v>297.94099999999997</v>
      </c>
      <c r="E413" s="45">
        <v>729.47900000000004</v>
      </c>
      <c r="F413" s="39">
        <v>1150</v>
      </c>
      <c r="G413" s="39">
        <v>100</v>
      </c>
      <c r="H413" s="47">
        <v>600</v>
      </c>
      <c r="I413" s="39">
        <v>695</v>
      </c>
      <c r="J413" s="39">
        <v>50</v>
      </c>
      <c r="K413" s="40"/>
      <c r="L413" s="40"/>
      <c r="M413" s="40"/>
      <c r="N413" s="40"/>
      <c r="O413" s="40"/>
      <c r="P413" s="40"/>
      <c r="Q413" s="40"/>
      <c r="R413" s="40"/>
      <c r="S413" s="40"/>
      <c r="T413" s="40"/>
    </row>
    <row r="414" spans="1:20" ht="15.75">
      <c r="A414" s="13">
        <v>53751</v>
      </c>
      <c r="B414" s="48">
        <v>28</v>
      </c>
      <c r="C414" s="39">
        <v>122.58</v>
      </c>
      <c r="D414" s="39">
        <v>297.94099999999997</v>
      </c>
      <c r="E414" s="45">
        <v>729.47900000000004</v>
      </c>
      <c r="F414" s="39">
        <v>1150</v>
      </c>
      <c r="G414" s="39">
        <v>100</v>
      </c>
      <c r="H414" s="47">
        <v>600</v>
      </c>
      <c r="I414" s="39">
        <v>695</v>
      </c>
      <c r="J414" s="39">
        <v>50</v>
      </c>
      <c r="K414" s="40"/>
      <c r="L414" s="40"/>
      <c r="M414" s="40"/>
      <c r="N414" s="40"/>
      <c r="O414" s="40"/>
      <c r="P414" s="40"/>
      <c r="Q414" s="40"/>
      <c r="R414" s="40"/>
      <c r="S414" s="40"/>
      <c r="T414" s="40"/>
    </row>
    <row r="415" spans="1:20" ht="15.75">
      <c r="A415" s="13">
        <v>53782</v>
      </c>
      <c r="B415" s="48">
        <v>31</v>
      </c>
      <c r="C415" s="39">
        <v>122.58</v>
      </c>
      <c r="D415" s="39">
        <v>297.94099999999997</v>
      </c>
      <c r="E415" s="45">
        <v>729.47900000000004</v>
      </c>
      <c r="F415" s="39">
        <v>1150</v>
      </c>
      <c r="G415" s="39">
        <v>100</v>
      </c>
      <c r="H415" s="47">
        <v>600</v>
      </c>
      <c r="I415" s="39">
        <v>695</v>
      </c>
      <c r="J415" s="39">
        <v>50</v>
      </c>
      <c r="K415" s="40"/>
      <c r="L415" s="40"/>
      <c r="M415" s="40"/>
      <c r="N415" s="40"/>
      <c r="O415" s="40"/>
      <c r="P415" s="40"/>
      <c r="Q415" s="40"/>
      <c r="R415" s="40"/>
      <c r="S415" s="40"/>
      <c r="T415" s="40"/>
    </row>
    <row r="416" spans="1:20" ht="15.75">
      <c r="A416" s="13">
        <v>53812</v>
      </c>
      <c r="B416" s="48">
        <v>30</v>
      </c>
      <c r="C416" s="39">
        <v>141.29300000000001</v>
      </c>
      <c r="D416" s="39">
        <v>267.99299999999999</v>
      </c>
      <c r="E416" s="45">
        <v>829.71400000000006</v>
      </c>
      <c r="F416" s="39">
        <v>1239</v>
      </c>
      <c r="G416" s="39">
        <v>100</v>
      </c>
      <c r="H416" s="47">
        <v>600</v>
      </c>
      <c r="I416" s="39">
        <v>695</v>
      </c>
      <c r="J416" s="39">
        <v>50</v>
      </c>
      <c r="K416" s="40"/>
      <c r="L416" s="40"/>
      <c r="M416" s="40"/>
      <c r="N416" s="40"/>
      <c r="O416" s="40"/>
      <c r="P416" s="40"/>
      <c r="Q416" s="40"/>
      <c r="R416" s="40"/>
      <c r="S416" s="40"/>
      <c r="T416" s="40"/>
    </row>
    <row r="417" spans="1:20" ht="15.75">
      <c r="A417" s="13">
        <v>53843</v>
      </c>
      <c r="B417" s="48">
        <v>31</v>
      </c>
      <c r="C417" s="39">
        <v>194.20500000000001</v>
      </c>
      <c r="D417" s="39">
        <v>267.46600000000001</v>
      </c>
      <c r="E417" s="45">
        <v>812.32899999999995</v>
      </c>
      <c r="F417" s="39">
        <v>1274</v>
      </c>
      <c r="G417" s="39">
        <v>75</v>
      </c>
      <c r="H417" s="47">
        <v>600</v>
      </c>
      <c r="I417" s="39">
        <v>695</v>
      </c>
      <c r="J417" s="39">
        <v>50</v>
      </c>
      <c r="K417" s="40"/>
      <c r="L417" s="40"/>
      <c r="M417" s="40"/>
      <c r="N417" s="40"/>
      <c r="O417" s="40"/>
      <c r="P417" s="40"/>
      <c r="Q417" s="40"/>
      <c r="R417" s="40"/>
      <c r="S417" s="40"/>
      <c r="T417" s="40"/>
    </row>
    <row r="418" spans="1:20" ht="15.75">
      <c r="A418" s="13">
        <v>53873</v>
      </c>
      <c r="B418" s="48">
        <v>30</v>
      </c>
      <c r="C418" s="39">
        <v>194.20500000000001</v>
      </c>
      <c r="D418" s="39">
        <v>267.46600000000001</v>
      </c>
      <c r="E418" s="45">
        <v>812.32899999999995</v>
      </c>
      <c r="F418" s="39">
        <v>1274</v>
      </c>
      <c r="G418" s="39">
        <v>50</v>
      </c>
      <c r="H418" s="47">
        <v>600</v>
      </c>
      <c r="I418" s="39">
        <v>695</v>
      </c>
      <c r="J418" s="39">
        <v>50</v>
      </c>
      <c r="K418" s="40"/>
      <c r="L418" s="40"/>
      <c r="M418" s="40"/>
      <c r="N418" s="40"/>
      <c r="O418" s="40"/>
      <c r="P418" s="40"/>
      <c r="Q418" s="40"/>
      <c r="R418" s="40"/>
      <c r="S418" s="40"/>
      <c r="T418" s="40"/>
    </row>
    <row r="419" spans="1:20" ht="15.75">
      <c r="A419" s="13">
        <v>53904</v>
      </c>
      <c r="B419" s="48">
        <v>31</v>
      </c>
      <c r="C419" s="39">
        <v>194.20500000000001</v>
      </c>
      <c r="D419" s="39">
        <v>267.46600000000001</v>
      </c>
      <c r="E419" s="45">
        <v>812.32899999999995</v>
      </c>
      <c r="F419" s="39">
        <v>1274</v>
      </c>
      <c r="G419" s="39">
        <v>50</v>
      </c>
      <c r="H419" s="47">
        <v>600</v>
      </c>
      <c r="I419" s="39">
        <v>695</v>
      </c>
      <c r="J419" s="39">
        <v>0</v>
      </c>
      <c r="K419" s="40"/>
      <c r="L419" s="40"/>
      <c r="M419" s="40"/>
      <c r="N419" s="40"/>
      <c r="O419" s="40"/>
      <c r="P419" s="40"/>
      <c r="Q419" s="40"/>
      <c r="R419" s="40"/>
      <c r="S419" s="40"/>
      <c r="T419" s="40"/>
    </row>
    <row r="420" spans="1:20" ht="15.75">
      <c r="A420" s="13">
        <v>53935</v>
      </c>
      <c r="B420" s="48">
        <v>31</v>
      </c>
      <c r="C420" s="39">
        <v>194.20500000000001</v>
      </c>
      <c r="D420" s="39">
        <v>267.46600000000001</v>
      </c>
      <c r="E420" s="45">
        <v>812.32899999999995</v>
      </c>
      <c r="F420" s="39">
        <v>1274</v>
      </c>
      <c r="G420" s="39">
        <v>50</v>
      </c>
      <c r="H420" s="47">
        <v>600</v>
      </c>
      <c r="I420" s="39">
        <v>695</v>
      </c>
      <c r="J420" s="39">
        <v>0</v>
      </c>
      <c r="K420" s="40"/>
      <c r="L420" s="40"/>
      <c r="M420" s="40"/>
      <c r="N420" s="40"/>
      <c r="O420" s="40"/>
      <c r="P420" s="40"/>
      <c r="Q420" s="40"/>
      <c r="R420" s="40"/>
      <c r="S420" s="40"/>
      <c r="T420" s="40"/>
    </row>
    <row r="421" spans="1:20" ht="15.75">
      <c r="A421" s="13">
        <v>53965</v>
      </c>
      <c r="B421" s="48">
        <v>30</v>
      </c>
      <c r="C421" s="39">
        <v>194.20500000000001</v>
      </c>
      <c r="D421" s="39">
        <v>267.46600000000001</v>
      </c>
      <c r="E421" s="45">
        <v>812.32899999999995</v>
      </c>
      <c r="F421" s="39">
        <v>1274</v>
      </c>
      <c r="G421" s="39">
        <v>50</v>
      </c>
      <c r="H421" s="47">
        <v>600</v>
      </c>
      <c r="I421" s="39">
        <v>695</v>
      </c>
      <c r="J421" s="39">
        <v>0</v>
      </c>
      <c r="K421" s="40"/>
      <c r="L421" s="40"/>
      <c r="M421" s="40"/>
      <c r="N421" s="40"/>
      <c r="O421" s="40"/>
      <c r="P421" s="40"/>
      <c r="Q421" s="40"/>
      <c r="R421" s="40"/>
      <c r="S421" s="40"/>
      <c r="T421" s="40"/>
    </row>
    <row r="422" spans="1:20" ht="15.75">
      <c r="A422" s="13">
        <v>53996</v>
      </c>
      <c r="B422" s="48">
        <v>31</v>
      </c>
      <c r="C422" s="39">
        <v>131.881</v>
      </c>
      <c r="D422" s="39">
        <v>277.16699999999997</v>
      </c>
      <c r="E422" s="45">
        <v>829.952</v>
      </c>
      <c r="F422" s="39">
        <v>1239</v>
      </c>
      <c r="G422" s="39">
        <v>75</v>
      </c>
      <c r="H422" s="47">
        <v>600</v>
      </c>
      <c r="I422" s="39">
        <v>695</v>
      </c>
      <c r="J422" s="39">
        <v>0</v>
      </c>
      <c r="K422" s="40"/>
      <c r="L422" s="40"/>
      <c r="M422" s="40"/>
      <c r="N422" s="40"/>
      <c r="O422" s="40"/>
      <c r="P422" s="40"/>
      <c r="Q422" s="40"/>
      <c r="R422" s="40"/>
      <c r="S422" s="40"/>
      <c r="T422" s="40"/>
    </row>
    <row r="423" spans="1:20" ht="15.75">
      <c r="A423" s="13">
        <v>54026</v>
      </c>
      <c r="B423" s="48">
        <v>30</v>
      </c>
      <c r="C423" s="39">
        <v>122.58</v>
      </c>
      <c r="D423" s="39">
        <v>297.94099999999997</v>
      </c>
      <c r="E423" s="45">
        <v>729.47900000000004</v>
      </c>
      <c r="F423" s="39">
        <v>1150</v>
      </c>
      <c r="G423" s="39">
        <v>100</v>
      </c>
      <c r="H423" s="47">
        <v>600</v>
      </c>
      <c r="I423" s="39">
        <v>695</v>
      </c>
      <c r="J423" s="39">
        <v>50</v>
      </c>
      <c r="K423" s="40"/>
      <c r="L423" s="40"/>
      <c r="M423" s="40"/>
      <c r="N423" s="40"/>
      <c r="O423" s="40"/>
      <c r="P423" s="40"/>
      <c r="Q423" s="40"/>
      <c r="R423" s="40"/>
      <c r="S423" s="40"/>
      <c r="T423" s="40"/>
    </row>
    <row r="424" spans="1:20" ht="15.75">
      <c r="A424" s="13">
        <v>54057</v>
      </c>
      <c r="B424" s="48">
        <v>31</v>
      </c>
      <c r="C424" s="39">
        <v>122.58</v>
      </c>
      <c r="D424" s="39">
        <v>297.94099999999997</v>
      </c>
      <c r="E424" s="45">
        <v>729.47900000000004</v>
      </c>
      <c r="F424" s="39">
        <v>1150</v>
      </c>
      <c r="G424" s="39">
        <v>100</v>
      </c>
      <c r="H424" s="47">
        <v>600</v>
      </c>
      <c r="I424" s="39">
        <v>695</v>
      </c>
      <c r="J424" s="39">
        <v>50</v>
      </c>
      <c r="K424" s="40"/>
      <c r="L424" s="40"/>
      <c r="M424" s="40"/>
      <c r="N424" s="40"/>
      <c r="O424" s="40"/>
      <c r="P424" s="40"/>
      <c r="Q424" s="40"/>
      <c r="R424" s="40"/>
      <c r="S424" s="40"/>
      <c r="T424" s="40"/>
    </row>
    <row r="425" spans="1:20" ht="15.75">
      <c r="A425" s="13">
        <v>54088</v>
      </c>
      <c r="B425" s="48">
        <v>31</v>
      </c>
      <c r="C425" s="39">
        <v>122.58</v>
      </c>
      <c r="D425" s="39">
        <v>297.94099999999997</v>
      </c>
      <c r="E425" s="45">
        <v>729.47900000000004</v>
      </c>
      <c r="F425" s="39">
        <v>1150</v>
      </c>
      <c r="G425" s="39">
        <v>100</v>
      </c>
      <c r="H425" s="47">
        <v>600</v>
      </c>
      <c r="I425" s="39">
        <v>695</v>
      </c>
      <c r="J425" s="39">
        <v>50</v>
      </c>
      <c r="K425" s="40"/>
      <c r="L425" s="40"/>
      <c r="M425" s="40"/>
      <c r="N425" s="40"/>
      <c r="O425" s="40"/>
      <c r="P425" s="40"/>
      <c r="Q425" s="40"/>
      <c r="R425" s="40"/>
      <c r="S425" s="40"/>
      <c r="T425" s="40"/>
    </row>
    <row r="426" spans="1:20" ht="15.75">
      <c r="A426" s="13">
        <v>54116</v>
      </c>
      <c r="B426" s="48">
        <v>29</v>
      </c>
      <c r="C426" s="39">
        <v>122.58</v>
      </c>
      <c r="D426" s="39">
        <v>297.94099999999997</v>
      </c>
      <c r="E426" s="45">
        <v>729.47900000000004</v>
      </c>
      <c r="F426" s="39">
        <v>1150</v>
      </c>
      <c r="G426" s="39">
        <v>100</v>
      </c>
      <c r="H426" s="47">
        <v>600</v>
      </c>
      <c r="I426" s="39">
        <v>695</v>
      </c>
      <c r="J426" s="39">
        <v>50</v>
      </c>
      <c r="K426" s="40"/>
      <c r="L426" s="40"/>
      <c r="M426" s="40"/>
      <c r="N426" s="40"/>
      <c r="O426" s="40"/>
      <c r="P426" s="40"/>
      <c r="Q426" s="40"/>
      <c r="R426" s="40"/>
      <c r="S426" s="40"/>
      <c r="T426" s="40"/>
    </row>
    <row r="427" spans="1:20" ht="15.75">
      <c r="A427" s="13">
        <v>54148</v>
      </c>
      <c r="B427" s="48">
        <v>31</v>
      </c>
      <c r="C427" s="39">
        <v>122.58</v>
      </c>
      <c r="D427" s="39">
        <v>297.94099999999997</v>
      </c>
      <c r="E427" s="45">
        <v>729.47900000000004</v>
      </c>
      <c r="F427" s="39">
        <v>1150</v>
      </c>
      <c r="G427" s="39">
        <v>100</v>
      </c>
      <c r="H427" s="47">
        <v>600</v>
      </c>
      <c r="I427" s="39">
        <v>695</v>
      </c>
      <c r="J427" s="39">
        <v>50</v>
      </c>
      <c r="K427" s="40"/>
      <c r="L427" s="40"/>
      <c r="M427" s="40"/>
      <c r="N427" s="40"/>
      <c r="O427" s="40"/>
      <c r="P427" s="40"/>
      <c r="Q427" s="40"/>
      <c r="R427" s="40"/>
      <c r="S427" s="40"/>
      <c r="T427" s="40"/>
    </row>
    <row r="428" spans="1:20" ht="15.75">
      <c r="A428" s="13">
        <v>54178</v>
      </c>
      <c r="B428" s="48">
        <v>30</v>
      </c>
      <c r="C428" s="39">
        <v>141.29300000000001</v>
      </c>
      <c r="D428" s="39">
        <v>267.99299999999999</v>
      </c>
      <c r="E428" s="45">
        <v>829.71400000000006</v>
      </c>
      <c r="F428" s="39">
        <v>1239</v>
      </c>
      <c r="G428" s="39">
        <v>100</v>
      </c>
      <c r="H428" s="47">
        <v>600</v>
      </c>
      <c r="I428" s="39">
        <v>695</v>
      </c>
      <c r="J428" s="39">
        <v>50</v>
      </c>
      <c r="K428" s="40"/>
      <c r="L428" s="40"/>
      <c r="M428" s="40"/>
      <c r="N428" s="40"/>
      <c r="O428" s="40"/>
      <c r="P428" s="40"/>
      <c r="Q428" s="40"/>
      <c r="R428" s="40"/>
      <c r="S428" s="40"/>
      <c r="T428" s="40"/>
    </row>
    <row r="429" spans="1:20" ht="15.75">
      <c r="A429" s="13">
        <v>54209</v>
      </c>
      <c r="B429" s="48">
        <v>31</v>
      </c>
      <c r="C429" s="39">
        <v>194.20500000000001</v>
      </c>
      <c r="D429" s="39">
        <v>267.46600000000001</v>
      </c>
      <c r="E429" s="45">
        <v>812.32899999999995</v>
      </c>
      <c r="F429" s="39">
        <v>1274</v>
      </c>
      <c r="G429" s="39">
        <v>75</v>
      </c>
      <c r="H429" s="47">
        <v>600</v>
      </c>
      <c r="I429" s="39">
        <v>695</v>
      </c>
      <c r="J429" s="39">
        <v>50</v>
      </c>
      <c r="K429" s="40"/>
      <c r="L429" s="40"/>
      <c r="M429" s="40"/>
      <c r="N429" s="40"/>
      <c r="O429" s="40"/>
      <c r="P429" s="40"/>
      <c r="Q429" s="40"/>
      <c r="R429" s="40"/>
      <c r="S429" s="40"/>
      <c r="T429" s="40"/>
    </row>
    <row r="430" spans="1:20" ht="15.75">
      <c r="A430" s="13">
        <v>54239</v>
      </c>
      <c r="B430" s="48">
        <v>30</v>
      </c>
      <c r="C430" s="39">
        <v>194.20500000000001</v>
      </c>
      <c r="D430" s="39">
        <v>267.46600000000001</v>
      </c>
      <c r="E430" s="45">
        <v>812.32899999999995</v>
      </c>
      <c r="F430" s="39">
        <v>1274</v>
      </c>
      <c r="G430" s="39">
        <v>50</v>
      </c>
      <c r="H430" s="47">
        <v>600</v>
      </c>
      <c r="I430" s="39">
        <v>695</v>
      </c>
      <c r="J430" s="39">
        <v>50</v>
      </c>
      <c r="K430" s="40"/>
      <c r="L430" s="40"/>
      <c r="M430" s="40"/>
      <c r="N430" s="40"/>
      <c r="O430" s="40"/>
      <c r="P430" s="40"/>
      <c r="Q430" s="40"/>
      <c r="R430" s="40"/>
      <c r="S430" s="40"/>
      <c r="T430" s="40"/>
    </row>
    <row r="431" spans="1:20" ht="15.75">
      <c r="A431" s="13">
        <v>54270</v>
      </c>
      <c r="B431" s="48">
        <v>31</v>
      </c>
      <c r="C431" s="39">
        <v>194.20500000000001</v>
      </c>
      <c r="D431" s="39">
        <v>267.46600000000001</v>
      </c>
      <c r="E431" s="45">
        <v>812.32899999999995</v>
      </c>
      <c r="F431" s="39">
        <v>1274</v>
      </c>
      <c r="G431" s="39">
        <v>50</v>
      </c>
      <c r="H431" s="47">
        <v>600</v>
      </c>
      <c r="I431" s="39">
        <v>695</v>
      </c>
      <c r="J431" s="39">
        <v>0</v>
      </c>
      <c r="K431" s="40"/>
      <c r="L431" s="40"/>
      <c r="M431" s="40"/>
      <c r="N431" s="40"/>
      <c r="O431" s="40"/>
      <c r="P431" s="40"/>
      <c r="Q431" s="40"/>
      <c r="R431" s="40"/>
      <c r="S431" s="40"/>
      <c r="T431" s="40"/>
    </row>
    <row r="432" spans="1:20" ht="15.75">
      <c r="A432" s="13">
        <v>54301</v>
      </c>
      <c r="B432" s="48">
        <v>31</v>
      </c>
      <c r="C432" s="39">
        <v>194.20500000000001</v>
      </c>
      <c r="D432" s="39">
        <v>267.46600000000001</v>
      </c>
      <c r="E432" s="45">
        <v>812.32899999999995</v>
      </c>
      <c r="F432" s="39">
        <v>1274</v>
      </c>
      <c r="G432" s="39">
        <v>50</v>
      </c>
      <c r="H432" s="47">
        <v>600</v>
      </c>
      <c r="I432" s="39">
        <v>695</v>
      </c>
      <c r="J432" s="39">
        <v>0</v>
      </c>
      <c r="K432" s="40"/>
      <c r="L432" s="40"/>
      <c r="M432" s="40"/>
      <c r="N432" s="40"/>
      <c r="O432" s="40"/>
      <c r="P432" s="40"/>
      <c r="Q432" s="40"/>
      <c r="R432" s="40"/>
      <c r="S432" s="40"/>
      <c r="T432" s="40"/>
    </row>
    <row r="433" spans="1:20" ht="15.75">
      <c r="A433" s="13">
        <v>54331</v>
      </c>
      <c r="B433" s="48">
        <v>30</v>
      </c>
      <c r="C433" s="39">
        <v>194.20500000000001</v>
      </c>
      <c r="D433" s="39">
        <v>267.46600000000001</v>
      </c>
      <c r="E433" s="45">
        <v>812.32899999999995</v>
      </c>
      <c r="F433" s="39">
        <v>1274</v>
      </c>
      <c r="G433" s="39">
        <v>50</v>
      </c>
      <c r="H433" s="47">
        <v>600</v>
      </c>
      <c r="I433" s="39">
        <v>695</v>
      </c>
      <c r="J433" s="39">
        <v>0</v>
      </c>
      <c r="K433" s="40"/>
      <c r="L433" s="40"/>
      <c r="M433" s="40"/>
      <c r="N433" s="40"/>
      <c r="O433" s="40"/>
      <c r="P433" s="40"/>
      <c r="Q433" s="40"/>
      <c r="R433" s="40"/>
      <c r="S433" s="40"/>
      <c r="T433" s="40"/>
    </row>
    <row r="434" spans="1:20" ht="15.75">
      <c r="A434" s="13">
        <v>54362</v>
      </c>
      <c r="B434" s="48">
        <v>31</v>
      </c>
      <c r="C434" s="39">
        <v>131.881</v>
      </c>
      <c r="D434" s="39">
        <v>277.16699999999997</v>
      </c>
      <c r="E434" s="45">
        <v>829.952</v>
      </c>
      <c r="F434" s="39">
        <v>1239</v>
      </c>
      <c r="G434" s="39">
        <v>75</v>
      </c>
      <c r="H434" s="47">
        <v>600</v>
      </c>
      <c r="I434" s="39">
        <v>695</v>
      </c>
      <c r="J434" s="39">
        <v>0</v>
      </c>
      <c r="K434" s="40"/>
      <c r="L434" s="40"/>
      <c r="M434" s="40"/>
      <c r="N434" s="40"/>
      <c r="O434" s="40"/>
      <c r="P434" s="40"/>
      <c r="Q434" s="40"/>
      <c r="R434" s="40"/>
      <c r="S434" s="40"/>
      <c r="T434" s="40"/>
    </row>
    <row r="435" spans="1:20" ht="15.75">
      <c r="A435" s="13">
        <v>54392</v>
      </c>
      <c r="B435" s="48">
        <v>30</v>
      </c>
      <c r="C435" s="39">
        <v>122.58</v>
      </c>
      <c r="D435" s="39">
        <v>297.94099999999997</v>
      </c>
      <c r="E435" s="45">
        <v>729.47900000000004</v>
      </c>
      <c r="F435" s="39">
        <v>1150</v>
      </c>
      <c r="G435" s="39">
        <v>100</v>
      </c>
      <c r="H435" s="47">
        <v>600</v>
      </c>
      <c r="I435" s="39">
        <v>695</v>
      </c>
      <c r="J435" s="39">
        <v>50</v>
      </c>
      <c r="K435" s="40"/>
      <c r="L435" s="40"/>
      <c r="M435" s="40"/>
      <c r="N435" s="40"/>
      <c r="O435" s="40"/>
      <c r="P435" s="40"/>
      <c r="Q435" s="40"/>
      <c r="R435" s="40"/>
      <c r="S435" s="40"/>
      <c r="T435" s="40"/>
    </row>
    <row r="436" spans="1:20" ht="15.75">
      <c r="A436" s="13">
        <v>54423</v>
      </c>
      <c r="B436" s="48">
        <v>31</v>
      </c>
      <c r="C436" s="39">
        <v>122.58</v>
      </c>
      <c r="D436" s="39">
        <v>297.94099999999997</v>
      </c>
      <c r="E436" s="45">
        <v>729.47900000000004</v>
      </c>
      <c r="F436" s="39">
        <v>1150</v>
      </c>
      <c r="G436" s="39">
        <v>100</v>
      </c>
      <c r="H436" s="47">
        <v>600</v>
      </c>
      <c r="I436" s="39">
        <v>695</v>
      </c>
      <c r="J436" s="39">
        <v>50</v>
      </c>
      <c r="K436" s="40"/>
      <c r="L436" s="40"/>
      <c r="M436" s="40"/>
      <c r="N436" s="40"/>
      <c r="O436" s="40"/>
      <c r="P436" s="40"/>
      <c r="Q436" s="40"/>
      <c r="R436" s="40"/>
      <c r="S436" s="40"/>
      <c r="T436" s="40"/>
    </row>
    <row r="437" spans="1:20" ht="15.75">
      <c r="A437" s="13">
        <v>54454</v>
      </c>
      <c r="B437" s="48">
        <v>31</v>
      </c>
      <c r="C437" s="39">
        <v>122.58</v>
      </c>
      <c r="D437" s="39">
        <v>297.94099999999997</v>
      </c>
      <c r="E437" s="45">
        <v>729.47900000000004</v>
      </c>
      <c r="F437" s="39">
        <v>1150</v>
      </c>
      <c r="G437" s="39">
        <v>100</v>
      </c>
      <c r="H437" s="47">
        <v>600</v>
      </c>
      <c r="I437" s="39">
        <v>695</v>
      </c>
      <c r="J437" s="39">
        <v>50</v>
      </c>
      <c r="K437" s="40"/>
      <c r="L437" s="40"/>
      <c r="M437" s="40"/>
      <c r="N437" s="40"/>
      <c r="O437" s="40"/>
      <c r="P437" s="40"/>
      <c r="Q437" s="40"/>
      <c r="R437" s="40"/>
      <c r="S437" s="40"/>
      <c r="T437" s="40"/>
    </row>
    <row r="438" spans="1:20" ht="15.75">
      <c r="A438" s="13">
        <v>54482</v>
      </c>
      <c r="B438" s="48">
        <v>28</v>
      </c>
      <c r="C438" s="39">
        <v>122.58</v>
      </c>
      <c r="D438" s="39">
        <v>297.94099999999997</v>
      </c>
      <c r="E438" s="45">
        <v>729.47900000000004</v>
      </c>
      <c r="F438" s="39">
        <v>1150</v>
      </c>
      <c r="G438" s="39">
        <v>100</v>
      </c>
      <c r="H438" s="47">
        <v>600</v>
      </c>
      <c r="I438" s="39">
        <v>695</v>
      </c>
      <c r="J438" s="39">
        <v>50</v>
      </c>
      <c r="K438" s="40"/>
      <c r="L438" s="40"/>
      <c r="M438" s="40"/>
      <c r="N438" s="40"/>
      <c r="O438" s="40"/>
      <c r="P438" s="40"/>
      <c r="Q438" s="40"/>
      <c r="R438" s="40"/>
      <c r="S438" s="40"/>
      <c r="T438" s="40"/>
    </row>
    <row r="439" spans="1:20" ht="15.75">
      <c r="A439" s="13">
        <v>54513</v>
      </c>
      <c r="B439" s="48">
        <v>31</v>
      </c>
      <c r="C439" s="39">
        <v>122.58</v>
      </c>
      <c r="D439" s="39">
        <v>297.94099999999997</v>
      </c>
      <c r="E439" s="45">
        <v>729.47900000000004</v>
      </c>
      <c r="F439" s="39">
        <v>1150</v>
      </c>
      <c r="G439" s="39">
        <v>100</v>
      </c>
      <c r="H439" s="47">
        <v>600</v>
      </c>
      <c r="I439" s="39">
        <v>695</v>
      </c>
      <c r="J439" s="39">
        <v>50</v>
      </c>
      <c r="K439" s="40"/>
      <c r="L439" s="40"/>
      <c r="M439" s="40"/>
      <c r="N439" s="40"/>
      <c r="O439" s="40"/>
      <c r="P439" s="40"/>
      <c r="Q439" s="40"/>
      <c r="R439" s="40"/>
      <c r="S439" s="40"/>
      <c r="T439" s="40"/>
    </row>
    <row r="440" spans="1:20" ht="15.75">
      <c r="A440" s="13">
        <v>54543</v>
      </c>
      <c r="B440" s="48">
        <v>30</v>
      </c>
      <c r="C440" s="39">
        <v>141.29300000000001</v>
      </c>
      <c r="D440" s="39">
        <v>267.99299999999999</v>
      </c>
      <c r="E440" s="45">
        <v>829.71400000000006</v>
      </c>
      <c r="F440" s="39">
        <v>1239</v>
      </c>
      <c r="G440" s="39">
        <v>100</v>
      </c>
      <c r="H440" s="47">
        <v>600</v>
      </c>
      <c r="I440" s="39">
        <v>695</v>
      </c>
      <c r="J440" s="39">
        <v>50</v>
      </c>
      <c r="K440" s="40"/>
      <c r="L440" s="40"/>
      <c r="M440" s="40"/>
      <c r="N440" s="40"/>
      <c r="O440" s="40"/>
      <c r="P440" s="40"/>
      <c r="Q440" s="40"/>
      <c r="R440" s="40"/>
      <c r="S440" s="40"/>
      <c r="T440" s="40"/>
    </row>
    <row r="441" spans="1:20" ht="15.75">
      <c r="A441" s="13">
        <v>54574</v>
      </c>
      <c r="B441" s="48">
        <v>31</v>
      </c>
      <c r="C441" s="39">
        <v>194.20500000000001</v>
      </c>
      <c r="D441" s="39">
        <v>267.46600000000001</v>
      </c>
      <c r="E441" s="45">
        <v>812.32899999999995</v>
      </c>
      <c r="F441" s="39">
        <v>1274</v>
      </c>
      <c r="G441" s="39">
        <v>75</v>
      </c>
      <c r="H441" s="47">
        <v>600</v>
      </c>
      <c r="I441" s="39">
        <v>695</v>
      </c>
      <c r="J441" s="39">
        <v>50</v>
      </c>
      <c r="K441" s="40"/>
      <c r="L441" s="40"/>
      <c r="M441" s="40"/>
      <c r="N441" s="40"/>
      <c r="O441" s="40"/>
      <c r="P441" s="40"/>
      <c r="Q441" s="40"/>
      <c r="R441" s="40"/>
      <c r="S441" s="40"/>
      <c r="T441" s="40"/>
    </row>
    <row r="442" spans="1:20" ht="15.75">
      <c r="A442" s="13">
        <v>54604</v>
      </c>
      <c r="B442" s="48">
        <v>30</v>
      </c>
      <c r="C442" s="39">
        <v>194.20500000000001</v>
      </c>
      <c r="D442" s="39">
        <v>267.46600000000001</v>
      </c>
      <c r="E442" s="45">
        <v>812.32899999999995</v>
      </c>
      <c r="F442" s="39">
        <v>1274</v>
      </c>
      <c r="G442" s="39">
        <v>50</v>
      </c>
      <c r="H442" s="47">
        <v>600</v>
      </c>
      <c r="I442" s="39">
        <v>695</v>
      </c>
      <c r="J442" s="39">
        <v>50</v>
      </c>
      <c r="K442" s="40"/>
      <c r="L442" s="40"/>
      <c r="M442" s="40"/>
      <c r="N442" s="40"/>
      <c r="O442" s="40"/>
      <c r="P442" s="40"/>
      <c r="Q442" s="40"/>
      <c r="R442" s="40"/>
      <c r="S442" s="40"/>
      <c r="T442" s="40"/>
    </row>
    <row r="443" spans="1:20" ht="15.75">
      <c r="A443" s="13">
        <v>54635</v>
      </c>
      <c r="B443" s="48">
        <v>31</v>
      </c>
      <c r="C443" s="39">
        <v>194.20500000000001</v>
      </c>
      <c r="D443" s="39">
        <v>267.46600000000001</v>
      </c>
      <c r="E443" s="45">
        <v>812.32899999999995</v>
      </c>
      <c r="F443" s="39">
        <v>1274</v>
      </c>
      <c r="G443" s="39">
        <v>50</v>
      </c>
      <c r="H443" s="47">
        <v>600</v>
      </c>
      <c r="I443" s="39">
        <v>695</v>
      </c>
      <c r="J443" s="39">
        <v>0</v>
      </c>
      <c r="K443" s="40"/>
      <c r="L443" s="40"/>
      <c r="M443" s="40"/>
      <c r="N443" s="40"/>
      <c r="O443" s="40"/>
      <c r="P443" s="40"/>
      <c r="Q443" s="40"/>
      <c r="R443" s="40"/>
      <c r="S443" s="40"/>
      <c r="T443" s="40"/>
    </row>
    <row r="444" spans="1:20" ht="15.75">
      <c r="A444" s="13">
        <v>54666</v>
      </c>
      <c r="B444" s="48">
        <v>31</v>
      </c>
      <c r="C444" s="39">
        <v>194.20500000000001</v>
      </c>
      <c r="D444" s="39">
        <v>267.46600000000001</v>
      </c>
      <c r="E444" s="45">
        <v>812.32899999999995</v>
      </c>
      <c r="F444" s="39">
        <v>1274</v>
      </c>
      <c r="G444" s="39">
        <v>50</v>
      </c>
      <c r="H444" s="47">
        <v>600</v>
      </c>
      <c r="I444" s="39">
        <v>695</v>
      </c>
      <c r="J444" s="39">
        <v>0</v>
      </c>
      <c r="K444" s="40"/>
      <c r="L444" s="40"/>
      <c r="M444" s="40"/>
      <c r="N444" s="40"/>
      <c r="O444" s="40"/>
      <c r="P444" s="40"/>
      <c r="Q444" s="40"/>
      <c r="R444" s="40"/>
      <c r="S444" s="40"/>
      <c r="T444" s="40"/>
    </row>
    <row r="445" spans="1:20" ht="15.75">
      <c r="A445" s="13">
        <v>54696</v>
      </c>
      <c r="B445" s="48">
        <v>30</v>
      </c>
      <c r="C445" s="39">
        <v>194.20500000000001</v>
      </c>
      <c r="D445" s="39">
        <v>267.46600000000001</v>
      </c>
      <c r="E445" s="45">
        <v>812.32899999999995</v>
      </c>
      <c r="F445" s="39">
        <v>1274</v>
      </c>
      <c r="G445" s="39">
        <v>50</v>
      </c>
      <c r="H445" s="47">
        <v>600</v>
      </c>
      <c r="I445" s="39">
        <v>695</v>
      </c>
      <c r="J445" s="39">
        <v>0</v>
      </c>
      <c r="K445" s="40"/>
      <c r="L445" s="40"/>
      <c r="M445" s="40"/>
      <c r="N445" s="40"/>
      <c r="O445" s="40"/>
      <c r="P445" s="40"/>
      <c r="Q445" s="40"/>
      <c r="R445" s="40"/>
      <c r="S445" s="40"/>
      <c r="T445" s="40"/>
    </row>
    <row r="446" spans="1:20" ht="15.75">
      <c r="A446" s="13">
        <v>54727</v>
      </c>
      <c r="B446" s="48">
        <v>31</v>
      </c>
      <c r="C446" s="39">
        <v>131.881</v>
      </c>
      <c r="D446" s="39">
        <v>277.16699999999997</v>
      </c>
      <c r="E446" s="45">
        <v>829.952</v>
      </c>
      <c r="F446" s="39">
        <v>1239</v>
      </c>
      <c r="G446" s="39">
        <v>75</v>
      </c>
      <c r="H446" s="47">
        <v>600</v>
      </c>
      <c r="I446" s="39">
        <v>695</v>
      </c>
      <c r="J446" s="39">
        <v>0</v>
      </c>
      <c r="K446" s="40"/>
      <c r="L446" s="40"/>
      <c r="M446" s="40"/>
      <c r="N446" s="40"/>
      <c r="O446" s="40"/>
      <c r="P446" s="40"/>
      <c r="Q446" s="40"/>
      <c r="R446" s="40"/>
      <c r="S446" s="40"/>
      <c r="T446" s="40"/>
    </row>
    <row r="447" spans="1:20" ht="15.75">
      <c r="A447" s="13">
        <v>54757</v>
      </c>
      <c r="B447" s="48">
        <v>30</v>
      </c>
      <c r="C447" s="39">
        <v>122.58</v>
      </c>
      <c r="D447" s="39">
        <v>297.94099999999997</v>
      </c>
      <c r="E447" s="45">
        <v>729.47900000000004</v>
      </c>
      <c r="F447" s="39">
        <v>1150</v>
      </c>
      <c r="G447" s="39">
        <v>100</v>
      </c>
      <c r="H447" s="47">
        <v>600</v>
      </c>
      <c r="I447" s="39">
        <v>695</v>
      </c>
      <c r="J447" s="39">
        <v>50</v>
      </c>
      <c r="K447" s="40"/>
      <c r="L447" s="40"/>
      <c r="M447" s="40"/>
      <c r="N447" s="40"/>
      <c r="O447" s="40"/>
      <c r="P447" s="40"/>
      <c r="Q447" s="40"/>
      <c r="R447" s="40"/>
      <c r="S447" s="40"/>
      <c r="T447" s="40"/>
    </row>
    <row r="448" spans="1:20" ht="15.75">
      <c r="A448" s="13">
        <v>54788</v>
      </c>
      <c r="B448" s="48">
        <v>31</v>
      </c>
      <c r="C448" s="39">
        <v>122.58</v>
      </c>
      <c r="D448" s="39">
        <v>297.94099999999997</v>
      </c>
      <c r="E448" s="45">
        <v>729.47900000000004</v>
      </c>
      <c r="F448" s="39">
        <v>1150</v>
      </c>
      <c r="G448" s="39">
        <v>100</v>
      </c>
      <c r="H448" s="47">
        <v>600</v>
      </c>
      <c r="I448" s="39">
        <v>695</v>
      </c>
      <c r="J448" s="39">
        <v>50</v>
      </c>
      <c r="K448" s="40"/>
      <c r="L448" s="40"/>
      <c r="M448" s="40"/>
      <c r="N448" s="40"/>
      <c r="O448" s="40"/>
      <c r="P448" s="40"/>
      <c r="Q448" s="40"/>
      <c r="R448" s="40"/>
      <c r="S448" s="40"/>
      <c r="T448" s="40"/>
    </row>
    <row r="449" spans="1:20" ht="15.75">
      <c r="A449" s="13">
        <v>54819</v>
      </c>
      <c r="B449" s="48">
        <v>31</v>
      </c>
      <c r="C449" s="39">
        <v>122.58</v>
      </c>
      <c r="D449" s="39">
        <v>297.94099999999997</v>
      </c>
      <c r="E449" s="45">
        <v>729.47900000000004</v>
      </c>
      <c r="F449" s="39">
        <v>1150</v>
      </c>
      <c r="G449" s="39">
        <v>100</v>
      </c>
      <c r="H449" s="47">
        <v>600</v>
      </c>
      <c r="I449" s="39">
        <v>695</v>
      </c>
      <c r="J449" s="39">
        <v>50</v>
      </c>
      <c r="K449" s="40"/>
      <c r="L449" s="40"/>
      <c r="M449" s="40"/>
      <c r="N449" s="40"/>
      <c r="O449" s="40"/>
      <c r="P449" s="40"/>
      <c r="Q449" s="40"/>
      <c r="R449" s="40"/>
      <c r="S449" s="40"/>
      <c r="T449" s="40"/>
    </row>
    <row r="450" spans="1:20" ht="15.75">
      <c r="A450" s="13">
        <v>54847</v>
      </c>
      <c r="B450" s="48">
        <v>28</v>
      </c>
      <c r="C450" s="39">
        <v>122.58</v>
      </c>
      <c r="D450" s="39">
        <v>297.94099999999997</v>
      </c>
      <c r="E450" s="45">
        <v>729.47900000000004</v>
      </c>
      <c r="F450" s="39">
        <v>1150</v>
      </c>
      <c r="G450" s="39">
        <v>100</v>
      </c>
      <c r="H450" s="47">
        <v>600</v>
      </c>
      <c r="I450" s="39">
        <v>695</v>
      </c>
      <c r="J450" s="39">
        <v>50</v>
      </c>
      <c r="K450" s="40"/>
      <c r="L450" s="40"/>
      <c r="M450" s="40"/>
      <c r="N450" s="40"/>
      <c r="O450" s="40"/>
      <c r="P450" s="40"/>
      <c r="Q450" s="40"/>
      <c r="R450" s="40"/>
      <c r="S450" s="40"/>
      <c r="T450" s="40"/>
    </row>
    <row r="451" spans="1:20" ht="15.75">
      <c r="A451" s="13">
        <v>54878</v>
      </c>
      <c r="B451" s="48">
        <v>31</v>
      </c>
      <c r="C451" s="39">
        <v>122.58</v>
      </c>
      <c r="D451" s="39">
        <v>297.94099999999997</v>
      </c>
      <c r="E451" s="45">
        <v>729.47900000000004</v>
      </c>
      <c r="F451" s="39">
        <v>1150</v>
      </c>
      <c r="G451" s="39">
        <v>100</v>
      </c>
      <c r="H451" s="47">
        <v>600</v>
      </c>
      <c r="I451" s="39">
        <v>695</v>
      </c>
      <c r="J451" s="39">
        <v>50</v>
      </c>
      <c r="K451" s="40"/>
      <c r="L451" s="40"/>
      <c r="M451" s="40"/>
      <c r="N451" s="40"/>
      <c r="O451" s="40"/>
      <c r="P451" s="40"/>
      <c r="Q451" s="40"/>
      <c r="R451" s="40"/>
      <c r="S451" s="40"/>
      <c r="T451" s="40"/>
    </row>
    <row r="452" spans="1:20" ht="15.75">
      <c r="A452" s="13">
        <v>54908</v>
      </c>
      <c r="B452" s="48">
        <v>30</v>
      </c>
      <c r="C452" s="39">
        <v>141.29300000000001</v>
      </c>
      <c r="D452" s="39">
        <v>267.99299999999999</v>
      </c>
      <c r="E452" s="45">
        <v>829.71400000000006</v>
      </c>
      <c r="F452" s="39">
        <v>1239</v>
      </c>
      <c r="G452" s="39">
        <v>100</v>
      </c>
      <c r="H452" s="47">
        <v>600</v>
      </c>
      <c r="I452" s="39">
        <v>695</v>
      </c>
      <c r="J452" s="39">
        <v>50</v>
      </c>
      <c r="K452" s="40"/>
      <c r="L452" s="40"/>
      <c r="M452" s="40"/>
      <c r="N452" s="40"/>
      <c r="O452" s="40"/>
      <c r="P452" s="40"/>
      <c r="Q452" s="40"/>
      <c r="R452" s="40"/>
      <c r="S452" s="40"/>
      <c r="T452" s="40"/>
    </row>
    <row r="453" spans="1:20" ht="15.75">
      <c r="A453" s="13">
        <v>54939</v>
      </c>
      <c r="B453" s="48">
        <v>31</v>
      </c>
      <c r="C453" s="39">
        <v>194.20500000000001</v>
      </c>
      <c r="D453" s="39">
        <v>267.46600000000001</v>
      </c>
      <c r="E453" s="45">
        <v>812.32899999999995</v>
      </c>
      <c r="F453" s="39">
        <v>1274</v>
      </c>
      <c r="G453" s="39">
        <v>75</v>
      </c>
      <c r="H453" s="47">
        <v>600</v>
      </c>
      <c r="I453" s="39">
        <v>695</v>
      </c>
      <c r="J453" s="39">
        <v>50</v>
      </c>
      <c r="K453" s="40"/>
      <c r="L453" s="40"/>
      <c r="M453" s="40"/>
      <c r="N453" s="40"/>
      <c r="O453" s="40"/>
      <c r="P453" s="40"/>
      <c r="Q453" s="40"/>
      <c r="R453" s="40"/>
      <c r="S453" s="40"/>
      <c r="T453" s="40"/>
    </row>
    <row r="454" spans="1:20" ht="15.75">
      <c r="A454" s="13">
        <v>54969</v>
      </c>
      <c r="B454" s="48">
        <v>30</v>
      </c>
      <c r="C454" s="39">
        <v>194.20500000000001</v>
      </c>
      <c r="D454" s="39">
        <v>267.46600000000001</v>
      </c>
      <c r="E454" s="45">
        <v>812.32899999999995</v>
      </c>
      <c r="F454" s="39">
        <v>1274</v>
      </c>
      <c r="G454" s="39">
        <v>50</v>
      </c>
      <c r="H454" s="47">
        <v>600</v>
      </c>
      <c r="I454" s="39">
        <v>695</v>
      </c>
      <c r="J454" s="39">
        <v>50</v>
      </c>
      <c r="K454" s="40"/>
      <c r="L454" s="40"/>
      <c r="M454" s="40"/>
      <c r="N454" s="40"/>
      <c r="O454" s="40"/>
      <c r="P454" s="40"/>
      <c r="Q454" s="40"/>
      <c r="R454" s="40"/>
      <c r="S454" s="40"/>
      <c r="T454" s="40"/>
    </row>
    <row r="455" spans="1:20" ht="15.75">
      <c r="A455" s="13">
        <v>55000</v>
      </c>
      <c r="B455" s="48">
        <v>31</v>
      </c>
      <c r="C455" s="39">
        <v>194.20500000000001</v>
      </c>
      <c r="D455" s="39">
        <v>267.46600000000001</v>
      </c>
      <c r="E455" s="45">
        <v>812.32899999999995</v>
      </c>
      <c r="F455" s="39">
        <v>1274</v>
      </c>
      <c r="G455" s="39">
        <v>50</v>
      </c>
      <c r="H455" s="47">
        <v>600</v>
      </c>
      <c r="I455" s="39">
        <v>695</v>
      </c>
      <c r="J455" s="39">
        <v>0</v>
      </c>
      <c r="K455" s="40"/>
      <c r="L455" s="40"/>
      <c r="M455" s="40"/>
      <c r="N455" s="40"/>
      <c r="O455" s="40"/>
      <c r="P455" s="40"/>
      <c r="Q455" s="40"/>
      <c r="R455" s="40"/>
      <c r="S455" s="40"/>
      <c r="T455" s="40"/>
    </row>
    <row r="456" spans="1:20" ht="15.75">
      <c r="A456" s="13">
        <v>55031</v>
      </c>
      <c r="B456" s="48">
        <v>31</v>
      </c>
      <c r="C456" s="39">
        <v>194.20500000000001</v>
      </c>
      <c r="D456" s="39">
        <v>267.46600000000001</v>
      </c>
      <c r="E456" s="45">
        <v>812.32899999999995</v>
      </c>
      <c r="F456" s="39">
        <v>1274</v>
      </c>
      <c r="G456" s="39">
        <v>50</v>
      </c>
      <c r="H456" s="47">
        <v>600</v>
      </c>
      <c r="I456" s="39">
        <v>695</v>
      </c>
      <c r="J456" s="39">
        <v>0</v>
      </c>
      <c r="K456" s="40"/>
      <c r="L456" s="40"/>
      <c r="M456" s="40"/>
      <c r="N456" s="40"/>
      <c r="O456" s="40"/>
      <c r="P456" s="40"/>
      <c r="Q456" s="40"/>
      <c r="R456" s="40"/>
      <c r="S456" s="40"/>
      <c r="T456" s="40"/>
    </row>
    <row r="457" spans="1:20" ht="15.75">
      <c r="A457" s="13">
        <v>55061</v>
      </c>
      <c r="B457" s="48">
        <v>30</v>
      </c>
      <c r="C457" s="39">
        <v>194.20500000000001</v>
      </c>
      <c r="D457" s="39">
        <v>267.46600000000001</v>
      </c>
      <c r="E457" s="45">
        <v>812.32899999999995</v>
      </c>
      <c r="F457" s="39">
        <v>1274</v>
      </c>
      <c r="G457" s="39">
        <v>50</v>
      </c>
      <c r="H457" s="47">
        <v>600</v>
      </c>
      <c r="I457" s="39">
        <v>695</v>
      </c>
      <c r="J457" s="39">
        <v>0</v>
      </c>
      <c r="K457" s="40"/>
      <c r="L457" s="40"/>
      <c r="M457" s="40"/>
      <c r="N457" s="40"/>
      <c r="O457" s="40"/>
      <c r="P457" s="40"/>
      <c r="Q457" s="40"/>
      <c r="R457" s="40"/>
      <c r="S457" s="40"/>
      <c r="T457" s="40"/>
    </row>
    <row r="458" spans="1:20" ht="15.75">
      <c r="A458" s="13">
        <v>55092</v>
      </c>
      <c r="B458" s="48">
        <v>31</v>
      </c>
      <c r="C458" s="39">
        <v>131.881</v>
      </c>
      <c r="D458" s="39">
        <v>277.16699999999997</v>
      </c>
      <c r="E458" s="45">
        <v>829.952</v>
      </c>
      <c r="F458" s="39">
        <v>1239</v>
      </c>
      <c r="G458" s="39">
        <v>75</v>
      </c>
      <c r="H458" s="47">
        <v>600</v>
      </c>
      <c r="I458" s="39">
        <v>695</v>
      </c>
      <c r="J458" s="39">
        <v>0</v>
      </c>
      <c r="K458" s="40"/>
      <c r="L458" s="40"/>
      <c r="M458" s="40"/>
      <c r="N458" s="40"/>
      <c r="O458" s="40"/>
      <c r="P458" s="40"/>
      <c r="Q458" s="40"/>
      <c r="R458" s="40"/>
      <c r="S458" s="40"/>
      <c r="T458" s="40"/>
    </row>
    <row r="459" spans="1:20" ht="15.75">
      <c r="A459" s="13">
        <v>55122</v>
      </c>
      <c r="B459" s="48">
        <v>30</v>
      </c>
      <c r="C459" s="39">
        <v>122.58</v>
      </c>
      <c r="D459" s="39">
        <v>297.94099999999997</v>
      </c>
      <c r="E459" s="45">
        <v>729.47900000000004</v>
      </c>
      <c r="F459" s="39">
        <v>1150</v>
      </c>
      <c r="G459" s="39">
        <v>100</v>
      </c>
      <c r="H459" s="47">
        <v>600</v>
      </c>
      <c r="I459" s="39">
        <v>695</v>
      </c>
      <c r="J459" s="39">
        <v>50</v>
      </c>
      <c r="K459" s="40"/>
      <c r="L459" s="40"/>
      <c r="M459" s="40"/>
      <c r="N459" s="40"/>
      <c r="O459" s="40"/>
      <c r="P459" s="40"/>
      <c r="Q459" s="40"/>
      <c r="R459" s="40"/>
      <c r="S459" s="40"/>
      <c r="T459" s="40"/>
    </row>
    <row r="460" spans="1:20" ht="15.75">
      <c r="A460" s="13">
        <v>55153</v>
      </c>
      <c r="B460" s="48">
        <v>31</v>
      </c>
      <c r="C460" s="39">
        <v>122.58</v>
      </c>
      <c r="D460" s="39">
        <v>297.94099999999997</v>
      </c>
      <c r="E460" s="45">
        <v>729.47900000000004</v>
      </c>
      <c r="F460" s="39">
        <v>1150</v>
      </c>
      <c r="G460" s="39">
        <v>100</v>
      </c>
      <c r="H460" s="47">
        <v>600</v>
      </c>
      <c r="I460" s="39">
        <v>695</v>
      </c>
      <c r="J460" s="39">
        <v>50</v>
      </c>
      <c r="K460" s="40"/>
      <c r="L460" s="40"/>
      <c r="M460" s="40"/>
      <c r="N460" s="40"/>
      <c r="O460" s="40"/>
      <c r="P460" s="40"/>
      <c r="Q460" s="40"/>
      <c r="R460" s="40"/>
      <c r="S460" s="40"/>
      <c r="T460" s="40"/>
    </row>
    <row r="461" spans="1:20" ht="15.75">
      <c r="A461" s="13">
        <v>55184</v>
      </c>
      <c r="B461" s="48">
        <v>31</v>
      </c>
      <c r="C461" s="39">
        <v>122.58</v>
      </c>
      <c r="D461" s="39">
        <v>297.94099999999997</v>
      </c>
      <c r="E461" s="45">
        <v>729.47900000000004</v>
      </c>
      <c r="F461" s="39">
        <v>1150</v>
      </c>
      <c r="G461" s="39">
        <v>100</v>
      </c>
      <c r="H461" s="47">
        <v>600</v>
      </c>
      <c r="I461" s="39">
        <v>695</v>
      </c>
      <c r="J461" s="39">
        <v>50</v>
      </c>
      <c r="K461" s="40"/>
      <c r="L461" s="40"/>
      <c r="M461" s="40"/>
      <c r="N461" s="40"/>
      <c r="O461" s="40"/>
      <c r="P461" s="40"/>
      <c r="Q461" s="40"/>
      <c r="R461" s="40"/>
      <c r="S461" s="40"/>
      <c r="T461" s="40"/>
    </row>
    <row r="462" spans="1:20" ht="15.75">
      <c r="A462" s="13">
        <v>55212</v>
      </c>
      <c r="B462" s="48">
        <v>28</v>
      </c>
      <c r="C462" s="39">
        <v>122.58</v>
      </c>
      <c r="D462" s="39">
        <v>297.94099999999997</v>
      </c>
      <c r="E462" s="45">
        <v>729.47900000000004</v>
      </c>
      <c r="F462" s="39">
        <v>1150</v>
      </c>
      <c r="G462" s="39">
        <v>100</v>
      </c>
      <c r="H462" s="47">
        <v>600</v>
      </c>
      <c r="I462" s="39">
        <v>695</v>
      </c>
      <c r="J462" s="39">
        <v>50</v>
      </c>
      <c r="K462" s="40"/>
      <c r="L462" s="40"/>
      <c r="M462" s="40"/>
      <c r="N462" s="40"/>
      <c r="O462" s="40"/>
      <c r="P462" s="40"/>
      <c r="Q462" s="40"/>
      <c r="R462" s="40"/>
      <c r="S462" s="40"/>
      <c r="T462" s="40"/>
    </row>
    <row r="463" spans="1:20" ht="15.75">
      <c r="A463" s="13">
        <v>55243</v>
      </c>
      <c r="B463" s="48">
        <v>31</v>
      </c>
      <c r="C463" s="39">
        <v>122.58</v>
      </c>
      <c r="D463" s="39">
        <v>297.94099999999997</v>
      </c>
      <c r="E463" s="45">
        <v>729.47900000000004</v>
      </c>
      <c r="F463" s="39">
        <v>1150</v>
      </c>
      <c r="G463" s="39">
        <v>100</v>
      </c>
      <c r="H463" s="47">
        <v>600</v>
      </c>
      <c r="I463" s="39">
        <v>695</v>
      </c>
      <c r="J463" s="39">
        <v>50</v>
      </c>
      <c r="K463" s="40"/>
      <c r="L463" s="40"/>
      <c r="M463" s="40"/>
      <c r="N463" s="40"/>
      <c r="O463" s="40"/>
      <c r="P463" s="40"/>
      <c r="Q463" s="40"/>
      <c r="R463" s="40"/>
      <c r="S463" s="40"/>
      <c r="T463" s="40"/>
    </row>
    <row r="464" spans="1:20" ht="15.75">
      <c r="A464" s="13">
        <v>55273</v>
      </c>
      <c r="B464" s="48">
        <v>30</v>
      </c>
      <c r="C464" s="39">
        <v>141.29300000000001</v>
      </c>
      <c r="D464" s="39">
        <v>267.99299999999999</v>
      </c>
      <c r="E464" s="45">
        <v>829.71400000000006</v>
      </c>
      <c r="F464" s="39">
        <v>1239</v>
      </c>
      <c r="G464" s="39">
        <v>100</v>
      </c>
      <c r="H464" s="47">
        <v>600</v>
      </c>
      <c r="I464" s="39">
        <v>695</v>
      </c>
      <c r="J464" s="39">
        <v>50</v>
      </c>
      <c r="K464" s="40"/>
      <c r="L464" s="40"/>
      <c r="M464" s="40"/>
      <c r="N464" s="40"/>
      <c r="O464" s="40"/>
      <c r="P464" s="40"/>
      <c r="Q464" s="40"/>
      <c r="R464" s="40"/>
      <c r="S464" s="40"/>
      <c r="T464" s="40"/>
    </row>
    <row r="465" spans="1:20" ht="15.75">
      <c r="A465" s="13">
        <v>55304</v>
      </c>
      <c r="B465" s="48">
        <v>31</v>
      </c>
      <c r="C465" s="39">
        <v>194.20500000000001</v>
      </c>
      <c r="D465" s="39">
        <v>267.46600000000001</v>
      </c>
      <c r="E465" s="45">
        <v>812.32899999999995</v>
      </c>
      <c r="F465" s="39">
        <v>1274</v>
      </c>
      <c r="G465" s="39">
        <v>75</v>
      </c>
      <c r="H465" s="47">
        <v>600</v>
      </c>
      <c r="I465" s="39">
        <v>695</v>
      </c>
      <c r="J465" s="39">
        <v>50</v>
      </c>
      <c r="K465" s="40"/>
      <c r="L465" s="40"/>
      <c r="M465" s="40"/>
      <c r="N465" s="40"/>
      <c r="O465" s="40"/>
      <c r="P465" s="40"/>
      <c r="Q465" s="40"/>
      <c r="R465" s="40"/>
      <c r="S465" s="40"/>
      <c r="T465" s="40"/>
    </row>
    <row r="466" spans="1:20" ht="15.75">
      <c r="A466" s="13">
        <v>55334</v>
      </c>
      <c r="B466" s="48">
        <v>30</v>
      </c>
      <c r="C466" s="39">
        <v>194.20500000000001</v>
      </c>
      <c r="D466" s="39">
        <v>267.46600000000001</v>
      </c>
      <c r="E466" s="45">
        <v>812.32899999999995</v>
      </c>
      <c r="F466" s="39">
        <v>1274</v>
      </c>
      <c r="G466" s="39">
        <v>50</v>
      </c>
      <c r="H466" s="47">
        <v>600</v>
      </c>
      <c r="I466" s="39">
        <v>695</v>
      </c>
      <c r="J466" s="39">
        <v>50</v>
      </c>
      <c r="K466" s="40"/>
      <c r="L466" s="40"/>
      <c r="M466" s="40"/>
      <c r="N466" s="40"/>
      <c r="O466" s="40"/>
      <c r="P466" s="40"/>
      <c r="Q466" s="40"/>
      <c r="R466" s="40"/>
      <c r="S466" s="40"/>
      <c r="T466" s="40"/>
    </row>
    <row r="467" spans="1:20" ht="15.75">
      <c r="A467" s="13">
        <v>55365</v>
      </c>
      <c r="B467" s="48">
        <v>31</v>
      </c>
      <c r="C467" s="39">
        <v>194.20500000000001</v>
      </c>
      <c r="D467" s="39">
        <v>267.46600000000001</v>
      </c>
      <c r="E467" s="45">
        <v>812.32899999999995</v>
      </c>
      <c r="F467" s="39">
        <v>1274</v>
      </c>
      <c r="G467" s="39">
        <v>50</v>
      </c>
      <c r="H467" s="47">
        <v>600</v>
      </c>
      <c r="I467" s="39">
        <v>695</v>
      </c>
      <c r="J467" s="39">
        <v>0</v>
      </c>
      <c r="K467" s="40"/>
      <c r="L467" s="40"/>
      <c r="M467" s="40"/>
      <c r="N467" s="40"/>
      <c r="O467" s="40"/>
      <c r="P467" s="40"/>
      <c r="Q467" s="40"/>
      <c r="R467" s="40"/>
      <c r="S467" s="40"/>
      <c r="T467" s="40"/>
    </row>
    <row r="468" spans="1:20" ht="15.75">
      <c r="A468" s="13">
        <v>55396</v>
      </c>
      <c r="B468" s="48">
        <v>31</v>
      </c>
      <c r="C468" s="39">
        <v>194.20500000000001</v>
      </c>
      <c r="D468" s="39">
        <v>267.46600000000001</v>
      </c>
      <c r="E468" s="45">
        <v>812.32899999999995</v>
      </c>
      <c r="F468" s="39">
        <v>1274</v>
      </c>
      <c r="G468" s="39">
        <v>50</v>
      </c>
      <c r="H468" s="47">
        <v>600</v>
      </c>
      <c r="I468" s="39">
        <v>695</v>
      </c>
      <c r="J468" s="39">
        <v>0</v>
      </c>
      <c r="K468" s="40"/>
      <c r="L468" s="40"/>
      <c r="M468" s="40"/>
      <c r="N468" s="40"/>
      <c r="O468" s="40"/>
      <c r="P468" s="40"/>
      <c r="Q468" s="40"/>
      <c r="R468" s="40"/>
      <c r="S468" s="40"/>
      <c r="T468" s="40"/>
    </row>
    <row r="469" spans="1:20" ht="15.75">
      <c r="A469" s="13">
        <v>55426</v>
      </c>
      <c r="B469" s="48">
        <v>30</v>
      </c>
      <c r="C469" s="39">
        <v>194.20500000000001</v>
      </c>
      <c r="D469" s="39">
        <v>267.46600000000001</v>
      </c>
      <c r="E469" s="45">
        <v>812.32899999999995</v>
      </c>
      <c r="F469" s="39">
        <v>1274</v>
      </c>
      <c r="G469" s="39">
        <v>50</v>
      </c>
      <c r="H469" s="47">
        <v>600</v>
      </c>
      <c r="I469" s="39">
        <v>695</v>
      </c>
      <c r="J469" s="39">
        <v>0</v>
      </c>
      <c r="K469" s="40"/>
      <c r="L469" s="40"/>
      <c r="M469" s="40"/>
      <c r="N469" s="40"/>
      <c r="O469" s="40"/>
      <c r="P469" s="40"/>
      <c r="Q469" s="40"/>
      <c r="R469" s="40"/>
      <c r="S469" s="40"/>
      <c r="T469" s="40"/>
    </row>
    <row r="470" spans="1:20" ht="15.75">
      <c r="A470" s="13">
        <v>55457</v>
      </c>
      <c r="B470" s="48">
        <v>31</v>
      </c>
      <c r="C470" s="39">
        <v>131.881</v>
      </c>
      <c r="D470" s="39">
        <v>277.16699999999997</v>
      </c>
      <c r="E470" s="45">
        <v>829.952</v>
      </c>
      <c r="F470" s="39">
        <v>1239</v>
      </c>
      <c r="G470" s="39">
        <v>75</v>
      </c>
      <c r="H470" s="47">
        <v>600</v>
      </c>
      <c r="I470" s="39">
        <v>695</v>
      </c>
      <c r="J470" s="39">
        <v>0</v>
      </c>
      <c r="K470" s="40"/>
      <c r="L470" s="40"/>
      <c r="M470" s="40"/>
      <c r="N470" s="40"/>
      <c r="O470" s="40"/>
      <c r="P470" s="40"/>
      <c r="Q470" s="40"/>
      <c r="R470" s="40"/>
      <c r="S470" s="40"/>
      <c r="T470" s="40"/>
    </row>
    <row r="471" spans="1:20" ht="15.75">
      <c r="A471" s="13">
        <v>55487</v>
      </c>
      <c r="B471" s="48">
        <v>30</v>
      </c>
      <c r="C471" s="39">
        <v>122.58</v>
      </c>
      <c r="D471" s="39">
        <v>297.94099999999997</v>
      </c>
      <c r="E471" s="45">
        <v>729.47900000000004</v>
      </c>
      <c r="F471" s="39">
        <v>1150</v>
      </c>
      <c r="G471" s="39">
        <v>100</v>
      </c>
      <c r="H471" s="47">
        <v>600</v>
      </c>
      <c r="I471" s="39">
        <v>695</v>
      </c>
      <c r="J471" s="39">
        <v>50</v>
      </c>
      <c r="K471" s="40"/>
      <c r="L471" s="40"/>
      <c r="M471" s="40"/>
      <c r="N471" s="40"/>
      <c r="O471" s="40"/>
      <c r="P471" s="40"/>
      <c r="Q471" s="40"/>
      <c r="R471" s="40"/>
      <c r="S471" s="40"/>
      <c r="T471" s="40"/>
    </row>
    <row r="472" spans="1:20" ht="15.75">
      <c r="A472" s="13">
        <v>55518</v>
      </c>
      <c r="B472" s="48">
        <v>31</v>
      </c>
      <c r="C472" s="39">
        <v>122.58</v>
      </c>
      <c r="D472" s="39">
        <v>297.94099999999997</v>
      </c>
      <c r="E472" s="45">
        <v>729.47900000000004</v>
      </c>
      <c r="F472" s="39">
        <v>1150</v>
      </c>
      <c r="G472" s="39">
        <v>100</v>
      </c>
      <c r="H472" s="47">
        <v>600</v>
      </c>
      <c r="I472" s="39">
        <v>695</v>
      </c>
      <c r="J472" s="39">
        <v>50</v>
      </c>
      <c r="K472" s="40"/>
      <c r="L472" s="40"/>
      <c r="M472" s="40"/>
      <c r="N472" s="40"/>
      <c r="O472" s="40"/>
      <c r="P472" s="40"/>
      <c r="Q472" s="40"/>
      <c r="R472" s="40"/>
      <c r="S472" s="40"/>
      <c r="T472" s="40"/>
    </row>
    <row r="473" spans="1:20" ht="15.75">
      <c r="A473" s="13">
        <v>55549</v>
      </c>
      <c r="B473" s="48">
        <v>31</v>
      </c>
      <c r="C473" s="39">
        <v>122.58</v>
      </c>
      <c r="D473" s="39">
        <v>297.94099999999997</v>
      </c>
      <c r="E473" s="45">
        <v>729.47900000000004</v>
      </c>
      <c r="F473" s="39">
        <v>1150</v>
      </c>
      <c r="G473" s="39">
        <v>100</v>
      </c>
      <c r="H473" s="47">
        <v>600</v>
      </c>
      <c r="I473" s="39">
        <v>695</v>
      </c>
      <c r="J473" s="39">
        <v>50</v>
      </c>
      <c r="K473" s="40"/>
      <c r="L473" s="40"/>
      <c r="M473" s="40"/>
      <c r="N473" s="40"/>
      <c r="O473" s="40"/>
      <c r="P473" s="40"/>
      <c r="Q473" s="40"/>
      <c r="R473" s="40"/>
      <c r="S473" s="40"/>
      <c r="T473" s="40"/>
    </row>
    <row r="474" spans="1:20" ht="15.75">
      <c r="A474" s="13">
        <v>55577</v>
      </c>
      <c r="B474" s="48">
        <v>29</v>
      </c>
      <c r="C474" s="39">
        <v>122.58</v>
      </c>
      <c r="D474" s="39">
        <v>297.94099999999997</v>
      </c>
      <c r="E474" s="45">
        <v>729.47900000000004</v>
      </c>
      <c r="F474" s="39">
        <v>1150</v>
      </c>
      <c r="G474" s="39">
        <v>100</v>
      </c>
      <c r="H474" s="47">
        <v>600</v>
      </c>
      <c r="I474" s="39">
        <v>695</v>
      </c>
      <c r="J474" s="39">
        <v>50</v>
      </c>
      <c r="K474" s="40"/>
      <c r="L474" s="40"/>
      <c r="M474" s="40"/>
      <c r="N474" s="40"/>
      <c r="O474" s="40"/>
      <c r="P474" s="40"/>
      <c r="Q474" s="40"/>
      <c r="R474" s="40"/>
      <c r="S474" s="40"/>
      <c r="T474" s="40"/>
    </row>
    <row r="475" spans="1:20" ht="15.75">
      <c r="A475" s="13">
        <v>55609</v>
      </c>
      <c r="B475" s="48">
        <v>31</v>
      </c>
      <c r="C475" s="39">
        <v>122.58</v>
      </c>
      <c r="D475" s="39">
        <v>297.94099999999997</v>
      </c>
      <c r="E475" s="45">
        <v>729.47900000000004</v>
      </c>
      <c r="F475" s="39">
        <v>1150</v>
      </c>
      <c r="G475" s="39">
        <v>100</v>
      </c>
      <c r="H475" s="47">
        <v>600</v>
      </c>
      <c r="I475" s="39">
        <v>695</v>
      </c>
      <c r="J475" s="39">
        <v>50</v>
      </c>
      <c r="K475" s="40"/>
      <c r="L475" s="40"/>
      <c r="M475" s="40"/>
      <c r="N475" s="40"/>
      <c r="O475" s="40"/>
      <c r="P475" s="40"/>
      <c r="Q475" s="40"/>
      <c r="R475" s="40"/>
      <c r="S475" s="40"/>
      <c r="T475" s="40"/>
    </row>
    <row r="476" spans="1:20" ht="15.75">
      <c r="A476" s="13">
        <v>55639</v>
      </c>
      <c r="B476" s="48">
        <v>30</v>
      </c>
      <c r="C476" s="39">
        <v>141.29300000000001</v>
      </c>
      <c r="D476" s="39">
        <v>267.99299999999999</v>
      </c>
      <c r="E476" s="45">
        <v>829.71400000000006</v>
      </c>
      <c r="F476" s="39">
        <v>1239</v>
      </c>
      <c r="G476" s="39">
        <v>100</v>
      </c>
      <c r="H476" s="47">
        <v>600</v>
      </c>
      <c r="I476" s="39">
        <v>695</v>
      </c>
      <c r="J476" s="39">
        <v>50</v>
      </c>
      <c r="K476" s="40"/>
      <c r="L476" s="40"/>
      <c r="M476" s="40"/>
      <c r="N476" s="40"/>
      <c r="O476" s="40"/>
      <c r="P476" s="40"/>
      <c r="Q476" s="40"/>
      <c r="R476" s="40"/>
      <c r="S476" s="40"/>
      <c r="T476" s="40"/>
    </row>
    <row r="477" spans="1:20" ht="15.75">
      <c r="A477" s="13">
        <v>55670</v>
      </c>
      <c r="B477" s="48">
        <v>31</v>
      </c>
      <c r="C477" s="39">
        <v>194.20500000000001</v>
      </c>
      <c r="D477" s="39">
        <v>267.46600000000001</v>
      </c>
      <c r="E477" s="45">
        <v>812.32899999999995</v>
      </c>
      <c r="F477" s="39">
        <v>1274</v>
      </c>
      <c r="G477" s="39">
        <v>75</v>
      </c>
      <c r="H477" s="47">
        <v>600</v>
      </c>
      <c r="I477" s="39">
        <v>695</v>
      </c>
      <c r="J477" s="39">
        <v>50</v>
      </c>
      <c r="K477" s="40"/>
      <c r="L477" s="40"/>
      <c r="M477" s="40"/>
      <c r="N477" s="40"/>
      <c r="O477" s="40"/>
      <c r="P477" s="40"/>
      <c r="Q477" s="40"/>
      <c r="R477" s="40"/>
      <c r="S477" s="40"/>
      <c r="T477" s="40"/>
    </row>
    <row r="478" spans="1:20" ht="15.75">
      <c r="A478" s="13">
        <v>55700</v>
      </c>
      <c r="B478" s="48">
        <v>30</v>
      </c>
      <c r="C478" s="39">
        <v>194.20500000000001</v>
      </c>
      <c r="D478" s="39">
        <v>267.46600000000001</v>
      </c>
      <c r="E478" s="45">
        <v>812.32899999999995</v>
      </c>
      <c r="F478" s="39">
        <v>1274</v>
      </c>
      <c r="G478" s="39">
        <v>50</v>
      </c>
      <c r="H478" s="47">
        <v>600</v>
      </c>
      <c r="I478" s="39">
        <v>695</v>
      </c>
      <c r="J478" s="39">
        <v>50</v>
      </c>
      <c r="K478" s="40"/>
      <c r="L478" s="40"/>
      <c r="M478" s="40"/>
      <c r="N478" s="40"/>
      <c r="O478" s="40"/>
      <c r="P478" s="40"/>
      <c r="Q478" s="40"/>
      <c r="R478" s="40"/>
      <c r="S478" s="40"/>
      <c r="T478" s="40"/>
    </row>
    <row r="479" spans="1:20" ht="15.75">
      <c r="A479" s="13">
        <v>55731</v>
      </c>
      <c r="B479" s="48">
        <v>31</v>
      </c>
      <c r="C479" s="39">
        <v>194.20500000000001</v>
      </c>
      <c r="D479" s="39">
        <v>267.46600000000001</v>
      </c>
      <c r="E479" s="45">
        <v>812.32899999999995</v>
      </c>
      <c r="F479" s="39">
        <v>1274</v>
      </c>
      <c r="G479" s="39">
        <v>50</v>
      </c>
      <c r="H479" s="47">
        <v>600</v>
      </c>
      <c r="I479" s="39">
        <v>695</v>
      </c>
      <c r="J479" s="39">
        <v>0</v>
      </c>
      <c r="K479" s="40"/>
      <c r="L479" s="40"/>
      <c r="M479" s="40"/>
      <c r="N479" s="40"/>
      <c r="O479" s="40"/>
      <c r="P479" s="40"/>
      <c r="Q479" s="40"/>
      <c r="R479" s="40"/>
      <c r="S479" s="40"/>
      <c r="T479" s="40"/>
    </row>
    <row r="480" spans="1:20" ht="15.75">
      <c r="A480" s="13">
        <v>55762</v>
      </c>
      <c r="B480" s="48">
        <v>31</v>
      </c>
      <c r="C480" s="39">
        <v>194.20500000000001</v>
      </c>
      <c r="D480" s="39">
        <v>267.46600000000001</v>
      </c>
      <c r="E480" s="45">
        <v>812.32899999999995</v>
      </c>
      <c r="F480" s="39">
        <v>1274</v>
      </c>
      <c r="G480" s="39">
        <v>50</v>
      </c>
      <c r="H480" s="47">
        <v>600</v>
      </c>
      <c r="I480" s="39">
        <v>695</v>
      </c>
      <c r="J480" s="39">
        <v>0</v>
      </c>
      <c r="K480" s="40"/>
      <c r="L480" s="40"/>
      <c r="M480" s="40"/>
      <c r="N480" s="40"/>
      <c r="O480" s="40"/>
      <c r="P480" s="40"/>
      <c r="Q480" s="40"/>
      <c r="R480" s="40"/>
      <c r="S480" s="40"/>
      <c r="T480" s="40"/>
    </row>
    <row r="481" spans="1:20" ht="15.75">
      <c r="A481" s="13">
        <v>55792</v>
      </c>
      <c r="B481" s="48">
        <v>30</v>
      </c>
      <c r="C481" s="39">
        <v>194.20500000000001</v>
      </c>
      <c r="D481" s="39">
        <v>267.46600000000001</v>
      </c>
      <c r="E481" s="45">
        <v>812.32899999999995</v>
      </c>
      <c r="F481" s="39">
        <v>1274</v>
      </c>
      <c r="G481" s="39">
        <v>50</v>
      </c>
      <c r="H481" s="47">
        <v>600</v>
      </c>
      <c r="I481" s="39">
        <v>695</v>
      </c>
      <c r="J481" s="39">
        <v>0</v>
      </c>
      <c r="K481" s="40"/>
      <c r="L481" s="40"/>
      <c r="M481" s="40"/>
      <c r="N481" s="40"/>
      <c r="O481" s="40"/>
      <c r="P481" s="40"/>
      <c r="Q481" s="40"/>
      <c r="R481" s="40"/>
      <c r="S481" s="40"/>
      <c r="T481" s="40"/>
    </row>
    <row r="482" spans="1:20" ht="15.75">
      <c r="A482" s="13">
        <v>55823</v>
      </c>
      <c r="B482" s="48">
        <v>31</v>
      </c>
      <c r="C482" s="39">
        <v>131.881</v>
      </c>
      <c r="D482" s="39">
        <v>277.16699999999997</v>
      </c>
      <c r="E482" s="45">
        <v>829.952</v>
      </c>
      <c r="F482" s="39">
        <v>1239</v>
      </c>
      <c r="G482" s="39">
        <v>75</v>
      </c>
      <c r="H482" s="47">
        <v>600</v>
      </c>
      <c r="I482" s="39">
        <v>695</v>
      </c>
      <c r="J482" s="39">
        <v>0</v>
      </c>
      <c r="K482" s="40"/>
      <c r="L482" s="40"/>
      <c r="M482" s="40"/>
      <c r="N482" s="40"/>
      <c r="O482" s="40"/>
      <c r="P482" s="40"/>
      <c r="Q482" s="40"/>
      <c r="R482" s="40"/>
      <c r="S482" s="40"/>
      <c r="T482" s="40"/>
    </row>
    <row r="483" spans="1:20" ht="15.75">
      <c r="A483" s="13">
        <v>55853</v>
      </c>
      <c r="B483" s="48">
        <v>30</v>
      </c>
      <c r="C483" s="39">
        <v>122.58</v>
      </c>
      <c r="D483" s="39">
        <v>297.94099999999997</v>
      </c>
      <c r="E483" s="45">
        <v>729.47900000000004</v>
      </c>
      <c r="F483" s="39">
        <v>1150</v>
      </c>
      <c r="G483" s="39">
        <v>100</v>
      </c>
      <c r="H483" s="47">
        <v>600</v>
      </c>
      <c r="I483" s="39">
        <v>695</v>
      </c>
      <c r="J483" s="39">
        <v>50</v>
      </c>
      <c r="K483" s="40"/>
      <c r="L483" s="40"/>
      <c r="M483" s="40"/>
      <c r="N483" s="40"/>
      <c r="O483" s="40"/>
      <c r="P483" s="40"/>
      <c r="Q483" s="40"/>
      <c r="R483" s="40"/>
      <c r="S483" s="40"/>
      <c r="T483" s="40"/>
    </row>
    <row r="484" spans="1:20" ht="15.75">
      <c r="A484" s="13">
        <v>55884</v>
      </c>
      <c r="B484" s="48">
        <v>31</v>
      </c>
      <c r="C484" s="39">
        <v>122.58</v>
      </c>
      <c r="D484" s="39">
        <v>297.94099999999997</v>
      </c>
      <c r="E484" s="45">
        <v>729.47900000000004</v>
      </c>
      <c r="F484" s="39">
        <v>1150</v>
      </c>
      <c r="G484" s="39">
        <v>100</v>
      </c>
      <c r="H484" s="47">
        <v>600</v>
      </c>
      <c r="I484" s="39">
        <v>695</v>
      </c>
      <c r="J484" s="39">
        <v>50</v>
      </c>
      <c r="K484" s="40"/>
      <c r="L484" s="40"/>
      <c r="M484" s="40"/>
      <c r="N484" s="40"/>
      <c r="O484" s="40"/>
      <c r="P484" s="40"/>
      <c r="Q484" s="40"/>
      <c r="R484" s="40"/>
      <c r="S484" s="40"/>
      <c r="T484" s="40"/>
    </row>
    <row r="485" spans="1:20" ht="15.75">
      <c r="A485" s="13">
        <v>55915</v>
      </c>
      <c r="B485" s="48">
        <v>31</v>
      </c>
      <c r="C485" s="39">
        <v>122.58</v>
      </c>
      <c r="D485" s="39">
        <v>297.94099999999997</v>
      </c>
      <c r="E485" s="45">
        <v>729.47900000000004</v>
      </c>
      <c r="F485" s="39">
        <v>1150</v>
      </c>
      <c r="G485" s="39">
        <v>100</v>
      </c>
      <c r="H485" s="47">
        <v>600</v>
      </c>
      <c r="I485" s="39">
        <v>695</v>
      </c>
      <c r="J485" s="39">
        <v>50</v>
      </c>
      <c r="K485" s="40"/>
      <c r="L485" s="40"/>
      <c r="M485" s="40"/>
      <c r="N485" s="40"/>
      <c r="O485" s="40"/>
      <c r="P485" s="40"/>
      <c r="Q485" s="40"/>
      <c r="R485" s="40"/>
      <c r="S485" s="40"/>
      <c r="T485" s="40"/>
    </row>
    <row r="486" spans="1:20" ht="15.75">
      <c r="A486" s="13">
        <v>55943</v>
      </c>
      <c r="B486" s="48">
        <v>28</v>
      </c>
      <c r="C486" s="39">
        <v>122.58</v>
      </c>
      <c r="D486" s="39">
        <v>297.94099999999997</v>
      </c>
      <c r="E486" s="45">
        <v>729.47900000000004</v>
      </c>
      <c r="F486" s="39">
        <v>1150</v>
      </c>
      <c r="G486" s="39">
        <v>100</v>
      </c>
      <c r="H486" s="47">
        <v>600</v>
      </c>
      <c r="I486" s="39">
        <v>695</v>
      </c>
      <c r="J486" s="39">
        <v>50</v>
      </c>
      <c r="K486" s="40"/>
      <c r="L486" s="40"/>
      <c r="M486" s="40"/>
      <c r="N486" s="40"/>
      <c r="O486" s="40"/>
      <c r="P486" s="40"/>
      <c r="Q486" s="40"/>
      <c r="R486" s="40"/>
      <c r="S486" s="40"/>
      <c r="T486" s="40"/>
    </row>
    <row r="487" spans="1:20" ht="15.75">
      <c r="A487" s="13">
        <v>55974</v>
      </c>
      <c r="B487" s="48">
        <v>31</v>
      </c>
      <c r="C487" s="39">
        <v>122.58</v>
      </c>
      <c r="D487" s="39">
        <v>297.94099999999997</v>
      </c>
      <c r="E487" s="45">
        <v>729.47900000000004</v>
      </c>
      <c r="F487" s="39">
        <v>1150</v>
      </c>
      <c r="G487" s="39">
        <v>100</v>
      </c>
      <c r="H487" s="47">
        <v>600</v>
      </c>
      <c r="I487" s="39">
        <v>695</v>
      </c>
      <c r="J487" s="39">
        <v>50</v>
      </c>
      <c r="K487" s="40"/>
      <c r="L487" s="40"/>
      <c r="M487" s="40"/>
      <c r="N487" s="40"/>
      <c r="O487" s="40"/>
      <c r="P487" s="40"/>
      <c r="Q487" s="40"/>
      <c r="R487" s="40"/>
      <c r="S487" s="40"/>
      <c r="T487" s="40"/>
    </row>
    <row r="488" spans="1:20" ht="15.75">
      <c r="A488" s="13">
        <v>56004</v>
      </c>
      <c r="B488" s="48">
        <v>30</v>
      </c>
      <c r="C488" s="39">
        <v>141.29300000000001</v>
      </c>
      <c r="D488" s="39">
        <v>267.99299999999999</v>
      </c>
      <c r="E488" s="45">
        <v>829.71400000000006</v>
      </c>
      <c r="F488" s="39">
        <v>1239</v>
      </c>
      <c r="G488" s="39">
        <v>100</v>
      </c>
      <c r="H488" s="47">
        <v>600</v>
      </c>
      <c r="I488" s="39">
        <v>695</v>
      </c>
      <c r="J488" s="39">
        <v>50</v>
      </c>
      <c r="K488" s="40"/>
      <c r="L488" s="40"/>
      <c r="M488" s="40"/>
      <c r="N488" s="40"/>
      <c r="O488" s="40"/>
      <c r="P488" s="40"/>
      <c r="Q488" s="40"/>
      <c r="R488" s="40"/>
      <c r="S488" s="40"/>
      <c r="T488" s="40"/>
    </row>
    <row r="489" spans="1:20" ht="15.75">
      <c r="A489" s="13">
        <v>56035</v>
      </c>
      <c r="B489" s="48">
        <v>31</v>
      </c>
      <c r="C489" s="39">
        <v>194.20500000000001</v>
      </c>
      <c r="D489" s="39">
        <v>267.46600000000001</v>
      </c>
      <c r="E489" s="45">
        <v>812.32899999999995</v>
      </c>
      <c r="F489" s="39">
        <v>1274</v>
      </c>
      <c r="G489" s="39">
        <v>75</v>
      </c>
      <c r="H489" s="47">
        <v>600</v>
      </c>
      <c r="I489" s="39">
        <v>695</v>
      </c>
      <c r="J489" s="39">
        <v>50</v>
      </c>
      <c r="K489" s="40"/>
      <c r="L489" s="40"/>
      <c r="M489" s="40"/>
      <c r="N489" s="40"/>
      <c r="O489" s="40"/>
      <c r="P489" s="40"/>
      <c r="Q489" s="40"/>
      <c r="R489" s="40"/>
      <c r="S489" s="40"/>
      <c r="T489" s="40"/>
    </row>
    <row r="490" spans="1:20" ht="15.75">
      <c r="A490" s="13">
        <v>56065</v>
      </c>
      <c r="B490" s="48">
        <v>30</v>
      </c>
      <c r="C490" s="39">
        <v>194.20500000000001</v>
      </c>
      <c r="D490" s="39">
        <v>267.46600000000001</v>
      </c>
      <c r="E490" s="45">
        <v>812.32899999999995</v>
      </c>
      <c r="F490" s="39">
        <v>1274</v>
      </c>
      <c r="G490" s="39">
        <v>50</v>
      </c>
      <c r="H490" s="47">
        <v>600</v>
      </c>
      <c r="I490" s="39">
        <v>695</v>
      </c>
      <c r="J490" s="39">
        <v>50</v>
      </c>
      <c r="K490" s="40"/>
      <c r="L490" s="40"/>
      <c r="M490" s="40"/>
      <c r="N490" s="40"/>
      <c r="O490" s="40"/>
      <c r="P490" s="40"/>
      <c r="Q490" s="40"/>
      <c r="R490" s="40"/>
      <c r="S490" s="40"/>
      <c r="T490" s="40"/>
    </row>
    <row r="491" spans="1:20" ht="15.75">
      <c r="A491" s="13">
        <v>56096</v>
      </c>
      <c r="B491" s="48">
        <v>31</v>
      </c>
      <c r="C491" s="39">
        <v>194.20500000000001</v>
      </c>
      <c r="D491" s="39">
        <v>267.46600000000001</v>
      </c>
      <c r="E491" s="45">
        <v>812.32899999999995</v>
      </c>
      <c r="F491" s="39">
        <v>1274</v>
      </c>
      <c r="G491" s="39">
        <v>50</v>
      </c>
      <c r="H491" s="47">
        <v>600</v>
      </c>
      <c r="I491" s="39">
        <v>695</v>
      </c>
      <c r="J491" s="39">
        <v>0</v>
      </c>
      <c r="K491" s="40"/>
      <c r="L491" s="40"/>
      <c r="M491" s="40"/>
      <c r="N491" s="40"/>
      <c r="O491" s="40"/>
      <c r="P491" s="40"/>
      <c r="Q491" s="40"/>
      <c r="R491" s="40"/>
      <c r="S491" s="40"/>
      <c r="T491" s="40"/>
    </row>
    <row r="492" spans="1:20" ht="15.75">
      <c r="A492" s="13">
        <v>56127</v>
      </c>
      <c r="B492" s="48">
        <v>31</v>
      </c>
      <c r="C492" s="39">
        <v>194.20500000000001</v>
      </c>
      <c r="D492" s="39">
        <v>267.46600000000001</v>
      </c>
      <c r="E492" s="45">
        <v>812.32899999999995</v>
      </c>
      <c r="F492" s="39">
        <v>1274</v>
      </c>
      <c r="G492" s="39">
        <v>50</v>
      </c>
      <c r="H492" s="47">
        <v>600</v>
      </c>
      <c r="I492" s="39">
        <v>695</v>
      </c>
      <c r="J492" s="39">
        <v>0</v>
      </c>
      <c r="K492" s="40"/>
      <c r="L492" s="40"/>
      <c r="M492" s="40"/>
      <c r="N492" s="40"/>
      <c r="O492" s="40"/>
      <c r="P492" s="40"/>
      <c r="Q492" s="40"/>
      <c r="R492" s="40"/>
      <c r="S492" s="40"/>
      <c r="T492" s="40"/>
    </row>
    <row r="493" spans="1:20" ht="15.75">
      <c r="A493" s="13">
        <v>56157</v>
      </c>
      <c r="B493" s="48">
        <v>30</v>
      </c>
      <c r="C493" s="39">
        <v>194.20500000000001</v>
      </c>
      <c r="D493" s="39">
        <v>267.46600000000001</v>
      </c>
      <c r="E493" s="45">
        <v>812.32899999999995</v>
      </c>
      <c r="F493" s="39">
        <v>1274</v>
      </c>
      <c r="G493" s="39">
        <v>50</v>
      </c>
      <c r="H493" s="47">
        <v>600</v>
      </c>
      <c r="I493" s="39">
        <v>695</v>
      </c>
      <c r="J493" s="39">
        <v>0</v>
      </c>
      <c r="K493" s="40"/>
      <c r="L493" s="40"/>
      <c r="M493" s="40"/>
      <c r="N493" s="40"/>
      <c r="O493" s="40"/>
      <c r="P493" s="40"/>
      <c r="Q493" s="40"/>
      <c r="R493" s="40"/>
      <c r="S493" s="40"/>
      <c r="T493" s="40"/>
    </row>
    <row r="494" spans="1:20" ht="15.75">
      <c r="A494" s="13">
        <v>56188</v>
      </c>
      <c r="B494" s="48">
        <v>31</v>
      </c>
      <c r="C494" s="39">
        <v>131.881</v>
      </c>
      <c r="D494" s="39">
        <v>277.16699999999997</v>
      </c>
      <c r="E494" s="45">
        <v>829.952</v>
      </c>
      <c r="F494" s="39">
        <v>1239</v>
      </c>
      <c r="G494" s="39">
        <v>75</v>
      </c>
      <c r="H494" s="47">
        <v>600</v>
      </c>
      <c r="I494" s="39">
        <v>695</v>
      </c>
      <c r="J494" s="39">
        <v>0</v>
      </c>
      <c r="K494" s="40"/>
      <c r="L494" s="40"/>
      <c r="M494" s="40"/>
      <c r="N494" s="40"/>
      <c r="O494" s="40"/>
      <c r="P494" s="40"/>
      <c r="Q494" s="40"/>
      <c r="R494" s="40"/>
      <c r="S494" s="40"/>
      <c r="T494" s="40"/>
    </row>
    <row r="495" spans="1:20" ht="15.75">
      <c r="A495" s="13">
        <v>56218</v>
      </c>
      <c r="B495" s="48">
        <v>30</v>
      </c>
      <c r="C495" s="39">
        <v>122.58</v>
      </c>
      <c r="D495" s="39">
        <v>297.94099999999997</v>
      </c>
      <c r="E495" s="45">
        <v>729.47900000000004</v>
      </c>
      <c r="F495" s="39">
        <v>1150</v>
      </c>
      <c r="G495" s="39">
        <v>100</v>
      </c>
      <c r="H495" s="47">
        <v>600</v>
      </c>
      <c r="I495" s="39">
        <v>695</v>
      </c>
      <c r="J495" s="39">
        <v>50</v>
      </c>
      <c r="K495" s="40"/>
      <c r="L495" s="40"/>
      <c r="M495" s="40"/>
      <c r="N495" s="40"/>
      <c r="O495" s="40"/>
      <c r="P495" s="40"/>
      <c r="Q495" s="40"/>
      <c r="R495" s="40"/>
      <c r="S495" s="40"/>
      <c r="T495" s="40"/>
    </row>
    <row r="496" spans="1:20" ht="15.75">
      <c r="A496" s="13">
        <v>56249</v>
      </c>
      <c r="B496" s="48">
        <v>31</v>
      </c>
      <c r="C496" s="39">
        <v>122.58</v>
      </c>
      <c r="D496" s="39">
        <v>297.94099999999997</v>
      </c>
      <c r="E496" s="45">
        <v>729.47900000000004</v>
      </c>
      <c r="F496" s="39">
        <v>1150</v>
      </c>
      <c r="G496" s="39">
        <v>100</v>
      </c>
      <c r="H496" s="47">
        <v>600</v>
      </c>
      <c r="I496" s="39">
        <v>695</v>
      </c>
      <c r="J496" s="39">
        <v>50</v>
      </c>
      <c r="K496" s="40"/>
      <c r="L496" s="40"/>
      <c r="M496" s="40"/>
      <c r="N496" s="40"/>
      <c r="O496" s="40"/>
      <c r="P496" s="40"/>
      <c r="Q496" s="40"/>
      <c r="R496" s="40"/>
      <c r="S496" s="40"/>
      <c r="T496" s="40"/>
    </row>
    <row r="497" spans="1:20" ht="15.75">
      <c r="A497" s="13">
        <v>56280</v>
      </c>
      <c r="B497" s="48">
        <v>31</v>
      </c>
      <c r="C497" s="39">
        <v>122.58</v>
      </c>
      <c r="D497" s="39">
        <v>297.94099999999997</v>
      </c>
      <c r="E497" s="45">
        <v>729.47900000000004</v>
      </c>
      <c r="F497" s="39">
        <v>1150</v>
      </c>
      <c r="G497" s="39">
        <v>100</v>
      </c>
      <c r="H497" s="47">
        <v>600</v>
      </c>
      <c r="I497" s="39">
        <v>695</v>
      </c>
      <c r="J497" s="39">
        <v>50</v>
      </c>
      <c r="K497" s="40"/>
      <c r="L497" s="40"/>
      <c r="M497" s="40"/>
      <c r="N497" s="40"/>
      <c r="O497" s="40"/>
      <c r="P497" s="40"/>
      <c r="Q497" s="40"/>
      <c r="R497" s="40"/>
      <c r="S497" s="40"/>
      <c r="T497" s="40"/>
    </row>
    <row r="498" spans="1:20" ht="15.75">
      <c r="A498" s="13">
        <v>56308</v>
      </c>
      <c r="B498" s="48">
        <v>28</v>
      </c>
      <c r="C498" s="39">
        <v>122.58</v>
      </c>
      <c r="D498" s="39">
        <v>297.94099999999997</v>
      </c>
      <c r="E498" s="45">
        <v>729.47900000000004</v>
      </c>
      <c r="F498" s="39">
        <v>1150</v>
      </c>
      <c r="G498" s="39">
        <v>100</v>
      </c>
      <c r="H498" s="47">
        <v>600</v>
      </c>
      <c r="I498" s="39">
        <v>695</v>
      </c>
      <c r="J498" s="39">
        <v>50</v>
      </c>
      <c r="K498" s="40"/>
      <c r="L498" s="40"/>
      <c r="M498" s="40"/>
      <c r="N498" s="40"/>
      <c r="O498" s="40"/>
      <c r="P498" s="40"/>
      <c r="Q498" s="40"/>
      <c r="R498" s="40"/>
      <c r="S498" s="40"/>
      <c r="T498" s="40"/>
    </row>
    <row r="499" spans="1:20" ht="15.75">
      <c r="A499" s="13">
        <v>56339</v>
      </c>
      <c r="B499" s="48">
        <v>31</v>
      </c>
      <c r="C499" s="39">
        <v>122.58</v>
      </c>
      <c r="D499" s="39">
        <v>297.94099999999997</v>
      </c>
      <c r="E499" s="45">
        <v>729.47900000000004</v>
      </c>
      <c r="F499" s="39">
        <v>1150</v>
      </c>
      <c r="G499" s="39">
        <v>100</v>
      </c>
      <c r="H499" s="47">
        <v>600</v>
      </c>
      <c r="I499" s="39">
        <v>695</v>
      </c>
      <c r="J499" s="39">
        <v>50</v>
      </c>
      <c r="K499" s="40"/>
      <c r="L499" s="40"/>
      <c r="M499" s="40"/>
      <c r="N499" s="40"/>
      <c r="O499" s="40"/>
      <c r="P499" s="40"/>
      <c r="Q499" s="40"/>
      <c r="R499" s="40"/>
      <c r="S499" s="40"/>
      <c r="T499" s="40"/>
    </row>
    <row r="500" spans="1:20" ht="15.75">
      <c r="A500" s="13">
        <v>56369</v>
      </c>
      <c r="B500" s="48">
        <v>30</v>
      </c>
      <c r="C500" s="39">
        <v>141.29300000000001</v>
      </c>
      <c r="D500" s="39">
        <v>267.99299999999999</v>
      </c>
      <c r="E500" s="45">
        <v>829.71400000000006</v>
      </c>
      <c r="F500" s="39">
        <v>1239</v>
      </c>
      <c r="G500" s="39">
        <v>100</v>
      </c>
      <c r="H500" s="47">
        <v>600</v>
      </c>
      <c r="I500" s="39">
        <v>695</v>
      </c>
      <c r="J500" s="39">
        <v>50</v>
      </c>
      <c r="K500" s="40"/>
      <c r="L500" s="40"/>
      <c r="M500" s="40"/>
      <c r="N500" s="40"/>
      <c r="O500" s="40"/>
      <c r="P500" s="40"/>
      <c r="Q500" s="40"/>
      <c r="R500" s="40"/>
      <c r="S500" s="40"/>
      <c r="T500" s="40"/>
    </row>
    <row r="501" spans="1:20" ht="15.75">
      <c r="A501" s="13">
        <v>56400</v>
      </c>
      <c r="B501" s="48">
        <v>31</v>
      </c>
      <c r="C501" s="39">
        <v>194.20500000000001</v>
      </c>
      <c r="D501" s="39">
        <v>267.46600000000001</v>
      </c>
      <c r="E501" s="45">
        <v>812.32899999999995</v>
      </c>
      <c r="F501" s="39">
        <v>1274</v>
      </c>
      <c r="G501" s="39">
        <v>75</v>
      </c>
      <c r="H501" s="47">
        <v>600</v>
      </c>
      <c r="I501" s="39">
        <v>695</v>
      </c>
      <c r="J501" s="39">
        <v>50</v>
      </c>
      <c r="K501" s="40"/>
      <c r="L501" s="40"/>
      <c r="M501" s="40"/>
      <c r="N501" s="40"/>
      <c r="O501" s="40"/>
      <c r="P501" s="40"/>
      <c r="Q501" s="40"/>
      <c r="R501" s="40"/>
      <c r="S501" s="40"/>
      <c r="T501" s="40"/>
    </row>
    <row r="502" spans="1:20" ht="15.75">
      <c r="A502" s="13">
        <v>56430</v>
      </c>
      <c r="B502" s="48">
        <v>30</v>
      </c>
      <c r="C502" s="39">
        <v>194.20500000000001</v>
      </c>
      <c r="D502" s="39">
        <v>267.46600000000001</v>
      </c>
      <c r="E502" s="45">
        <v>812.32899999999995</v>
      </c>
      <c r="F502" s="39">
        <v>1274</v>
      </c>
      <c r="G502" s="39">
        <v>50</v>
      </c>
      <c r="H502" s="47">
        <v>600</v>
      </c>
      <c r="I502" s="39">
        <v>695</v>
      </c>
      <c r="J502" s="39">
        <v>50</v>
      </c>
      <c r="K502" s="40"/>
      <c r="L502" s="40"/>
      <c r="M502" s="40"/>
      <c r="N502" s="40"/>
      <c r="O502" s="40"/>
      <c r="P502" s="40"/>
      <c r="Q502" s="40"/>
      <c r="R502" s="40"/>
      <c r="S502" s="40"/>
      <c r="T502" s="40"/>
    </row>
    <row r="503" spans="1:20" ht="15.75">
      <c r="A503" s="13">
        <v>56461</v>
      </c>
      <c r="B503" s="48">
        <v>31</v>
      </c>
      <c r="C503" s="39">
        <v>194.20500000000001</v>
      </c>
      <c r="D503" s="39">
        <v>267.46600000000001</v>
      </c>
      <c r="E503" s="45">
        <v>812.32899999999995</v>
      </c>
      <c r="F503" s="39">
        <v>1274</v>
      </c>
      <c r="G503" s="39">
        <v>50</v>
      </c>
      <c r="H503" s="47">
        <v>600</v>
      </c>
      <c r="I503" s="39">
        <v>695</v>
      </c>
      <c r="J503" s="39">
        <v>0</v>
      </c>
      <c r="K503" s="40"/>
      <c r="L503" s="40"/>
      <c r="M503" s="40"/>
      <c r="N503" s="40"/>
      <c r="O503" s="40"/>
      <c r="P503" s="40"/>
      <c r="Q503" s="40"/>
      <c r="R503" s="40"/>
      <c r="S503" s="40"/>
      <c r="T503" s="40"/>
    </row>
    <row r="504" spans="1:20" ht="15.75">
      <c r="A504" s="13">
        <v>56492</v>
      </c>
      <c r="B504" s="48">
        <v>31</v>
      </c>
      <c r="C504" s="39">
        <v>194.20500000000001</v>
      </c>
      <c r="D504" s="39">
        <v>267.46600000000001</v>
      </c>
      <c r="E504" s="45">
        <v>812.32899999999995</v>
      </c>
      <c r="F504" s="39">
        <v>1274</v>
      </c>
      <c r="G504" s="39">
        <v>50</v>
      </c>
      <c r="H504" s="47">
        <v>600</v>
      </c>
      <c r="I504" s="39">
        <v>695</v>
      </c>
      <c r="J504" s="39">
        <v>0</v>
      </c>
      <c r="K504" s="40"/>
      <c r="L504" s="40"/>
      <c r="M504" s="40"/>
      <c r="N504" s="40"/>
      <c r="O504" s="40"/>
      <c r="P504" s="40"/>
      <c r="Q504" s="40"/>
      <c r="R504" s="40"/>
      <c r="S504" s="40"/>
      <c r="T504" s="40"/>
    </row>
    <row r="505" spans="1:20" ht="15.75">
      <c r="A505" s="13">
        <v>56522</v>
      </c>
      <c r="B505" s="48">
        <v>30</v>
      </c>
      <c r="C505" s="39">
        <v>194.20500000000001</v>
      </c>
      <c r="D505" s="39">
        <v>267.46600000000001</v>
      </c>
      <c r="E505" s="45">
        <v>812.32899999999995</v>
      </c>
      <c r="F505" s="39">
        <v>1274</v>
      </c>
      <c r="G505" s="39">
        <v>50</v>
      </c>
      <c r="H505" s="47">
        <v>600</v>
      </c>
      <c r="I505" s="39">
        <v>695</v>
      </c>
      <c r="J505" s="39">
        <v>0</v>
      </c>
      <c r="K505" s="40"/>
      <c r="L505" s="40"/>
      <c r="M505" s="40"/>
      <c r="N505" s="40"/>
      <c r="O505" s="40"/>
      <c r="P505" s="40"/>
      <c r="Q505" s="40"/>
      <c r="R505" s="40"/>
      <c r="S505" s="40"/>
      <c r="T505" s="40"/>
    </row>
    <row r="506" spans="1:20" ht="15.75">
      <c r="A506" s="13">
        <v>56553</v>
      </c>
      <c r="B506" s="48">
        <v>31</v>
      </c>
      <c r="C506" s="39">
        <v>131.881</v>
      </c>
      <c r="D506" s="39">
        <v>277.16699999999997</v>
      </c>
      <c r="E506" s="45">
        <v>829.952</v>
      </c>
      <c r="F506" s="39">
        <v>1239</v>
      </c>
      <c r="G506" s="39">
        <v>75</v>
      </c>
      <c r="H506" s="47">
        <v>600</v>
      </c>
      <c r="I506" s="39">
        <v>695</v>
      </c>
      <c r="J506" s="39">
        <v>0</v>
      </c>
      <c r="K506" s="40"/>
      <c r="L506" s="40"/>
      <c r="M506" s="40"/>
      <c r="N506" s="40"/>
      <c r="O506" s="40"/>
      <c r="P506" s="40"/>
      <c r="Q506" s="40"/>
      <c r="R506" s="40"/>
      <c r="S506" s="40"/>
      <c r="T506" s="40"/>
    </row>
    <row r="507" spans="1:20" ht="15.75">
      <c r="A507" s="13">
        <v>56583</v>
      </c>
      <c r="B507" s="48">
        <v>30</v>
      </c>
      <c r="C507" s="39">
        <v>122.58</v>
      </c>
      <c r="D507" s="39">
        <v>297.94099999999997</v>
      </c>
      <c r="E507" s="45">
        <v>729.47900000000004</v>
      </c>
      <c r="F507" s="39">
        <v>1150</v>
      </c>
      <c r="G507" s="39">
        <v>100</v>
      </c>
      <c r="H507" s="47">
        <v>600</v>
      </c>
      <c r="I507" s="39">
        <v>695</v>
      </c>
      <c r="J507" s="39">
        <v>50</v>
      </c>
      <c r="K507" s="40"/>
      <c r="L507" s="40"/>
      <c r="M507" s="40"/>
      <c r="N507" s="40"/>
      <c r="O507" s="40"/>
      <c r="P507" s="40"/>
      <c r="Q507" s="40"/>
      <c r="R507" s="40"/>
      <c r="S507" s="40"/>
      <c r="T507" s="40"/>
    </row>
    <row r="508" spans="1:20" ht="15.75">
      <c r="A508" s="13">
        <v>56614</v>
      </c>
      <c r="B508" s="48">
        <v>31</v>
      </c>
      <c r="C508" s="39">
        <v>122.58</v>
      </c>
      <c r="D508" s="39">
        <v>297.94099999999997</v>
      </c>
      <c r="E508" s="45">
        <v>729.47900000000004</v>
      </c>
      <c r="F508" s="39">
        <v>1150</v>
      </c>
      <c r="G508" s="39">
        <v>100</v>
      </c>
      <c r="H508" s="47">
        <v>600</v>
      </c>
      <c r="I508" s="39">
        <v>695</v>
      </c>
      <c r="J508" s="39">
        <v>50</v>
      </c>
      <c r="K508" s="40"/>
      <c r="L508" s="40"/>
      <c r="M508" s="40"/>
      <c r="N508" s="40"/>
      <c r="O508" s="40"/>
      <c r="P508" s="40"/>
      <c r="Q508" s="40"/>
      <c r="R508" s="40"/>
      <c r="S508" s="40"/>
      <c r="T508" s="40"/>
    </row>
    <row r="509" spans="1:20" ht="15.75">
      <c r="A509" s="13">
        <v>56645</v>
      </c>
      <c r="B509" s="48">
        <v>31</v>
      </c>
      <c r="C509" s="39">
        <v>122.58</v>
      </c>
      <c r="D509" s="39">
        <v>297.94099999999997</v>
      </c>
      <c r="E509" s="45">
        <v>729.47900000000004</v>
      </c>
      <c r="F509" s="39">
        <v>1150</v>
      </c>
      <c r="G509" s="39">
        <v>100</v>
      </c>
      <c r="H509" s="47">
        <v>600</v>
      </c>
      <c r="I509" s="39">
        <v>695</v>
      </c>
      <c r="J509" s="39">
        <v>50</v>
      </c>
      <c r="K509" s="40"/>
      <c r="L509" s="40"/>
      <c r="M509" s="40"/>
      <c r="N509" s="40"/>
      <c r="O509" s="40"/>
      <c r="P509" s="40"/>
      <c r="Q509" s="40"/>
      <c r="R509" s="40"/>
      <c r="S509" s="40"/>
      <c r="T509" s="40"/>
    </row>
    <row r="510" spans="1:20" ht="15.75">
      <c r="A510" s="13">
        <v>56673</v>
      </c>
      <c r="B510" s="48">
        <v>28</v>
      </c>
      <c r="C510" s="39">
        <v>122.58</v>
      </c>
      <c r="D510" s="39">
        <v>297.94099999999997</v>
      </c>
      <c r="E510" s="45">
        <v>729.47900000000004</v>
      </c>
      <c r="F510" s="39">
        <v>1150</v>
      </c>
      <c r="G510" s="39">
        <v>100</v>
      </c>
      <c r="H510" s="47">
        <v>600</v>
      </c>
      <c r="I510" s="39">
        <v>695</v>
      </c>
      <c r="J510" s="39">
        <v>50</v>
      </c>
      <c r="K510" s="40"/>
      <c r="L510" s="40"/>
      <c r="M510" s="40"/>
      <c r="N510" s="40"/>
      <c r="O510" s="40"/>
      <c r="P510" s="40"/>
      <c r="Q510" s="40"/>
      <c r="R510" s="40"/>
      <c r="S510" s="40"/>
      <c r="T510" s="40"/>
    </row>
    <row r="511" spans="1:20" ht="15.75">
      <c r="A511" s="13">
        <v>56704</v>
      </c>
      <c r="B511" s="48">
        <v>31</v>
      </c>
      <c r="C511" s="39">
        <v>122.58</v>
      </c>
      <c r="D511" s="39">
        <v>297.94099999999997</v>
      </c>
      <c r="E511" s="45">
        <v>729.47900000000004</v>
      </c>
      <c r="F511" s="39">
        <v>1150</v>
      </c>
      <c r="G511" s="39">
        <v>100</v>
      </c>
      <c r="H511" s="47">
        <v>600</v>
      </c>
      <c r="I511" s="39">
        <v>695</v>
      </c>
      <c r="J511" s="39">
        <v>50</v>
      </c>
      <c r="K511" s="40"/>
      <c r="L511" s="40"/>
      <c r="M511" s="40"/>
      <c r="N511" s="40"/>
      <c r="O511" s="40"/>
      <c r="P511" s="40"/>
      <c r="Q511" s="40"/>
      <c r="R511" s="40"/>
      <c r="S511" s="40"/>
      <c r="T511" s="40"/>
    </row>
    <row r="512" spans="1:20" ht="15.75">
      <c r="A512" s="13">
        <v>56734</v>
      </c>
      <c r="B512" s="48">
        <v>30</v>
      </c>
      <c r="C512" s="39">
        <v>141.29300000000001</v>
      </c>
      <c r="D512" s="39">
        <v>267.99299999999999</v>
      </c>
      <c r="E512" s="45">
        <v>829.71400000000006</v>
      </c>
      <c r="F512" s="39">
        <v>1239</v>
      </c>
      <c r="G512" s="39">
        <v>100</v>
      </c>
      <c r="H512" s="47">
        <v>600</v>
      </c>
      <c r="I512" s="39">
        <v>695</v>
      </c>
      <c r="J512" s="39">
        <v>50</v>
      </c>
      <c r="K512" s="40"/>
      <c r="L512" s="40"/>
      <c r="M512" s="40"/>
      <c r="N512" s="40"/>
      <c r="O512" s="40"/>
      <c r="P512" s="40"/>
      <c r="Q512" s="40"/>
      <c r="R512" s="40"/>
      <c r="S512" s="40"/>
      <c r="T512" s="40"/>
    </row>
    <row r="513" spans="1:20" ht="15.75">
      <c r="A513" s="13">
        <v>56765</v>
      </c>
      <c r="B513" s="48">
        <v>31</v>
      </c>
      <c r="C513" s="39">
        <v>194.20500000000001</v>
      </c>
      <c r="D513" s="39">
        <v>267.46600000000001</v>
      </c>
      <c r="E513" s="45">
        <v>812.32899999999995</v>
      </c>
      <c r="F513" s="39">
        <v>1274</v>
      </c>
      <c r="G513" s="39">
        <v>75</v>
      </c>
      <c r="H513" s="47">
        <v>600</v>
      </c>
      <c r="I513" s="39">
        <v>695</v>
      </c>
      <c r="J513" s="39">
        <v>50</v>
      </c>
      <c r="K513" s="40"/>
      <c r="L513" s="40"/>
      <c r="M513" s="40"/>
      <c r="N513" s="40"/>
      <c r="O513" s="40"/>
      <c r="P513" s="40"/>
      <c r="Q513" s="40"/>
      <c r="R513" s="40"/>
      <c r="S513" s="40"/>
      <c r="T513" s="40"/>
    </row>
    <row r="514" spans="1:20" ht="15.75">
      <c r="A514" s="13">
        <v>56795</v>
      </c>
      <c r="B514" s="48">
        <v>30</v>
      </c>
      <c r="C514" s="39">
        <v>194.20500000000001</v>
      </c>
      <c r="D514" s="39">
        <v>267.46600000000001</v>
      </c>
      <c r="E514" s="45">
        <v>812.32899999999995</v>
      </c>
      <c r="F514" s="39">
        <v>1274</v>
      </c>
      <c r="G514" s="39">
        <v>50</v>
      </c>
      <c r="H514" s="47">
        <v>600</v>
      </c>
      <c r="I514" s="39">
        <v>695</v>
      </c>
      <c r="J514" s="39">
        <v>50</v>
      </c>
      <c r="K514" s="40"/>
      <c r="L514" s="40"/>
      <c r="M514" s="40"/>
      <c r="N514" s="40"/>
      <c r="O514" s="40"/>
      <c r="P514" s="40"/>
      <c r="Q514" s="40"/>
      <c r="R514" s="40"/>
      <c r="S514" s="40"/>
      <c r="T514" s="40"/>
    </row>
    <row r="515" spans="1:20" ht="15.75">
      <c r="A515" s="13">
        <v>56826</v>
      </c>
      <c r="B515" s="48">
        <v>31</v>
      </c>
      <c r="C515" s="39">
        <v>194.20500000000001</v>
      </c>
      <c r="D515" s="39">
        <v>267.46600000000001</v>
      </c>
      <c r="E515" s="45">
        <v>812.32899999999995</v>
      </c>
      <c r="F515" s="39">
        <v>1274</v>
      </c>
      <c r="G515" s="39">
        <v>50</v>
      </c>
      <c r="H515" s="47">
        <v>600</v>
      </c>
      <c r="I515" s="39">
        <v>695</v>
      </c>
      <c r="J515" s="39">
        <v>0</v>
      </c>
      <c r="K515" s="40"/>
      <c r="L515" s="40"/>
      <c r="M515" s="40"/>
      <c r="N515" s="40"/>
      <c r="O515" s="40"/>
      <c r="P515" s="40"/>
      <c r="Q515" s="40"/>
      <c r="R515" s="40"/>
      <c r="S515" s="40"/>
      <c r="T515" s="40"/>
    </row>
    <row r="516" spans="1:20" ht="15.75">
      <c r="A516" s="13">
        <v>56857</v>
      </c>
      <c r="B516" s="48">
        <v>31</v>
      </c>
      <c r="C516" s="39">
        <v>194.20500000000001</v>
      </c>
      <c r="D516" s="39">
        <v>267.46600000000001</v>
      </c>
      <c r="E516" s="45">
        <v>812.32899999999995</v>
      </c>
      <c r="F516" s="39">
        <v>1274</v>
      </c>
      <c r="G516" s="39">
        <v>50</v>
      </c>
      <c r="H516" s="47">
        <v>600</v>
      </c>
      <c r="I516" s="39">
        <v>695</v>
      </c>
      <c r="J516" s="39">
        <v>0</v>
      </c>
      <c r="K516" s="40"/>
      <c r="L516" s="40"/>
      <c r="M516" s="40"/>
      <c r="N516" s="40"/>
      <c r="O516" s="40"/>
      <c r="P516" s="40"/>
      <c r="Q516" s="40"/>
      <c r="R516" s="40"/>
      <c r="S516" s="40"/>
      <c r="T516" s="40"/>
    </row>
    <row r="517" spans="1:20" ht="15.75">
      <c r="A517" s="13">
        <v>56887</v>
      </c>
      <c r="B517" s="48">
        <v>30</v>
      </c>
      <c r="C517" s="39">
        <v>194.20500000000001</v>
      </c>
      <c r="D517" s="39">
        <v>267.46600000000001</v>
      </c>
      <c r="E517" s="45">
        <v>812.32899999999995</v>
      </c>
      <c r="F517" s="39">
        <v>1274</v>
      </c>
      <c r="G517" s="39">
        <v>50</v>
      </c>
      <c r="H517" s="47">
        <v>600</v>
      </c>
      <c r="I517" s="39">
        <v>695</v>
      </c>
      <c r="J517" s="39">
        <v>0</v>
      </c>
      <c r="K517" s="40"/>
      <c r="L517" s="40"/>
      <c r="M517" s="40"/>
      <c r="N517" s="40"/>
      <c r="O517" s="40"/>
      <c r="P517" s="40"/>
      <c r="Q517" s="40"/>
      <c r="R517" s="40"/>
      <c r="S517" s="40"/>
      <c r="T517" s="40"/>
    </row>
    <row r="518" spans="1:20" ht="15.75">
      <c r="A518" s="13">
        <v>56918</v>
      </c>
      <c r="B518" s="48">
        <v>31</v>
      </c>
      <c r="C518" s="39">
        <v>131.881</v>
      </c>
      <c r="D518" s="39">
        <v>277.16699999999997</v>
      </c>
      <c r="E518" s="45">
        <v>829.952</v>
      </c>
      <c r="F518" s="39">
        <v>1239</v>
      </c>
      <c r="G518" s="39">
        <v>75</v>
      </c>
      <c r="H518" s="47">
        <v>600</v>
      </c>
      <c r="I518" s="39">
        <v>695</v>
      </c>
      <c r="J518" s="39">
        <v>0</v>
      </c>
      <c r="K518" s="40"/>
      <c r="L518" s="40"/>
      <c r="M518" s="40"/>
      <c r="N518" s="40"/>
      <c r="O518" s="40"/>
      <c r="P518" s="40"/>
      <c r="Q518" s="40"/>
      <c r="R518" s="40"/>
      <c r="S518" s="40"/>
      <c r="T518" s="40"/>
    </row>
    <row r="519" spans="1:20" ht="15.75">
      <c r="A519" s="13">
        <v>56948</v>
      </c>
      <c r="B519" s="48">
        <v>30</v>
      </c>
      <c r="C519" s="39">
        <v>122.58</v>
      </c>
      <c r="D519" s="39">
        <v>297.94099999999997</v>
      </c>
      <c r="E519" s="45">
        <v>729.47900000000004</v>
      </c>
      <c r="F519" s="39">
        <v>1150</v>
      </c>
      <c r="G519" s="39">
        <v>100</v>
      </c>
      <c r="H519" s="47">
        <v>600</v>
      </c>
      <c r="I519" s="39">
        <v>695</v>
      </c>
      <c r="J519" s="39">
        <v>50</v>
      </c>
      <c r="K519" s="40"/>
      <c r="L519" s="40"/>
      <c r="M519" s="40"/>
      <c r="N519" s="40"/>
      <c r="O519" s="40"/>
      <c r="P519" s="40"/>
      <c r="Q519" s="40"/>
      <c r="R519" s="40"/>
      <c r="S519" s="40"/>
      <c r="T519" s="40"/>
    </row>
    <row r="520" spans="1:20" ht="15.75">
      <c r="A520" s="13">
        <v>56979</v>
      </c>
      <c r="B520" s="48">
        <v>31</v>
      </c>
      <c r="C520" s="39">
        <v>122.58</v>
      </c>
      <c r="D520" s="39">
        <v>297.94099999999997</v>
      </c>
      <c r="E520" s="45">
        <v>729.47900000000004</v>
      </c>
      <c r="F520" s="39">
        <v>1150</v>
      </c>
      <c r="G520" s="39">
        <v>100</v>
      </c>
      <c r="H520" s="47">
        <v>600</v>
      </c>
      <c r="I520" s="39">
        <v>695</v>
      </c>
      <c r="J520" s="39">
        <v>50</v>
      </c>
      <c r="K520" s="40"/>
      <c r="L520" s="40"/>
      <c r="M520" s="40"/>
      <c r="N520" s="40"/>
      <c r="O520" s="40"/>
      <c r="P520" s="40"/>
      <c r="Q520" s="40"/>
      <c r="R520" s="40"/>
      <c r="S520" s="40"/>
      <c r="T520" s="40"/>
    </row>
    <row r="521" spans="1:20" ht="15.75">
      <c r="A521" s="13">
        <v>57010</v>
      </c>
      <c r="B521" s="48">
        <v>31</v>
      </c>
      <c r="C521" s="39">
        <v>122.58</v>
      </c>
      <c r="D521" s="39">
        <v>297.94099999999997</v>
      </c>
      <c r="E521" s="45">
        <v>729.47900000000004</v>
      </c>
      <c r="F521" s="39">
        <v>1150</v>
      </c>
      <c r="G521" s="39">
        <v>100</v>
      </c>
      <c r="H521" s="47">
        <v>600</v>
      </c>
      <c r="I521" s="39">
        <v>695</v>
      </c>
      <c r="J521" s="39">
        <v>50</v>
      </c>
      <c r="K521" s="40"/>
      <c r="L521" s="40"/>
      <c r="M521" s="40"/>
      <c r="N521" s="40"/>
      <c r="O521" s="40"/>
      <c r="P521" s="40"/>
      <c r="Q521" s="40"/>
      <c r="R521" s="40"/>
      <c r="S521" s="40"/>
      <c r="T521" s="40"/>
    </row>
    <row r="522" spans="1:20" ht="15.75">
      <c r="A522" s="13">
        <v>57038</v>
      </c>
      <c r="B522" s="48">
        <v>29</v>
      </c>
      <c r="C522" s="39">
        <v>122.58</v>
      </c>
      <c r="D522" s="39">
        <v>297.94099999999997</v>
      </c>
      <c r="E522" s="45">
        <v>729.47900000000004</v>
      </c>
      <c r="F522" s="39">
        <v>1150</v>
      </c>
      <c r="G522" s="39">
        <v>100</v>
      </c>
      <c r="H522" s="47">
        <v>600</v>
      </c>
      <c r="I522" s="39">
        <v>695</v>
      </c>
      <c r="J522" s="39">
        <v>50</v>
      </c>
      <c r="K522" s="40"/>
      <c r="L522" s="40"/>
      <c r="M522" s="40"/>
      <c r="N522" s="40"/>
      <c r="O522" s="40"/>
      <c r="P522" s="40"/>
      <c r="Q522" s="40"/>
      <c r="R522" s="40"/>
      <c r="S522" s="40"/>
      <c r="T522" s="40"/>
    </row>
    <row r="523" spans="1:20" ht="15.75">
      <c r="A523" s="13">
        <v>57070</v>
      </c>
      <c r="B523" s="48">
        <v>31</v>
      </c>
      <c r="C523" s="39">
        <v>122.58</v>
      </c>
      <c r="D523" s="39">
        <v>297.94099999999997</v>
      </c>
      <c r="E523" s="45">
        <v>729.47900000000004</v>
      </c>
      <c r="F523" s="39">
        <v>1150</v>
      </c>
      <c r="G523" s="39">
        <v>100</v>
      </c>
      <c r="H523" s="47">
        <v>600</v>
      </c>
      <c r="I523" s="39">
        <v>695</v>
      </c>
      <c r="J523" s="39">
        <v>50</v>
      </c>
      <c r="K523" s="40"/>
      <c r="L523" s="40"/>
      <c r="M523" s="40"/>
      <c r="N523" s="40"/>
      <c r="O523" s="40"/>
      <c r="P523" s="40"/>
      <c r="Q523" s="40"/>
      <c r="R523" s="40"/>
      <c r="S523" s="40"/>
      <c r="T523" s="40"/>
    </row>
    <row r="524" spans="1:20" ht="15.75">
      <c r="A524" s="13">
        <v>57100</v>
      </c>
      <c r="B524" s="48">
        <v>30</v>
      </c>
      <c r="C524" s="39">
        <v>141.29300000000001</v>
      </c>
      <c r="D524" s="39">
        <v>267.99299999999999</v>
      </c>
      <c r="E524" s="45">
        <v>829.71400000000006</v>
      </c>
      <c r="F524" s="39">
        <v>1239</v>
      </c>
      <c r="G524" s="39">
        <v>100</v>
      </c>
      <c r="H524" s="47">
        <v>600</v>
      </c>
      <c r="I524" s="39">
        <v>695</v>
      </c>
      <c r="J524" s="39">
        <v>50</v>
      </c>
      <c r="K524" s="40"/>
      <c r="L524" s="40"/>
      <c r="M524" s="40"/>
      <c r="N524" s="40"/>
      <c r="O524" s="40"/>
      <c r="P524" s="40"/>
      <c r="Q524" s="40"/>
      <c r="R524" s="40"/>
      <c r="S524" s="40"/>
      <c r="T524" s="40"/>
    </row>
    <row r="525" spans="1:20" ht="15.75">
      <c r="A525" s="13">
        <v>57131</v>
      </c>
      <c r="B525" s="48">
        <v>31</v>
      </c>
      <c r="C525" s="39">
        <v>194.20500000000001</v>
      </c>
      <c r="D525" s="39">
        <v>267.46600000000001</v>
      </c>
      <c r="E525" s="45">
        <v>812.32899999999995</v>
      </c>
      <c r="F525" s="39">
        <v>1274</v>
      </c>
      <c r="G525" s="39">
        <v>75</v>
      </c>
      <c r="H525" s="47">
        <v>600</v>
      </c>
      <c r="I525" s="39">
        <v>695</v>
      </c>
      <c r="J525" s="39">
        <v>50</v>
      </c>
      <c r="K525" s="40"/>
      <c r="L525" s="40"/>
      <c r="M525" s="40"/>
      <c r="N525" s="40"/>
      <c r="O525" s="40"/>
      <c r="P525" s="40"/>
      <c r="Q525" s="40"/>
      <c r="R525" s="40"/>
      <c r="S525" s="40"/>
      <c r="T525" s="40"/>
    </row>
    <row r="526" spans="1:20" ht="15.75">
      <c r="A526" s="13">
        <v>57161</v>
      </c>
      <c r="B526" s="48">
        <v>30</v>
      </c>
      <c r="C526" s="39">
        <v>194.20500000000001</v>
      </c>
      <c r="D526" s="39">
        <v>267.46600000000001</v>
      </c>
      <c r="E526" s="45">
        <v>812.32899999999995</v>
      </c>
      <c r="F526" s="39">
        <v>1274</v>
      </c>
      <c r="G526" s="39">
        <v>50</v>
      </c>
      <c r="H526" s="47">
        <v>600</v>
      </c>
      <c r="I526" s="39">
        <v>695</v>
      </c>
      <c r="J526" s="39">
        <v>50</v>
      </c>
      <c r="K526" s="40"/>
      <c r="L526" s="40"/>
      <c r="M526" s="40"/>
      <c r="N526" s="40"/>
      <c r="O526" s="40"/>
      <c r="P526" s="40"/>
      <c r="Q526" s="40"/>
      <c r="R526" s="40"/>
      <c r="S526" s="40"/>
      <c r="T526" s="40"/>
    </row>
    <row r="527" spans="1:20" ht="15.75">
      <c r="A527" s="13">
        <v>57192</v>
      </c>
      <c r="B527" s="48">
        <v>31</v>
      </c>
      <c r="C527" s="39">
        <v>194.20500000000001</v>
      </c>
      <c r="D527" s="39">
        <v>267.46600000000001</v>
      </c>
      <c r="E527" s="45">
        <v>812.32899999999995</v>
      </c>
      <c r="F527" s="39">
        <v>1274</v>
      </c>
      <c r="G527" s="39">
        <v>50</v>
      </c>
      <c r="H527" s="47">
        <v>600</v>
      </c>
      <c r="I527" s="39">
        <v>695</v>
      </c>
      <c r="J527" s="39">
        <v>0</v>
      </c>
      <c r="K527" s="40"/>
      <c r="L527" s="40"/>
      <c r="M527" s="40"/>
      <c r="N527" s="40"/>
      <c r="O527" s="40"/>
      <c r="P527" s="40"/>
      <c r="Q527" s="40"/>
      <c r="R527" s="40"/>
      <c r="S527" s="40"/>
      <c r="T527" s="40"/>
    </row>
    <row r="528" spans="1:20" ht="15.75">
      <c r="A528" s="13">
        <v>57223</v>
      </c>
      <c r="B528" s="48">
        <v>31</v>
      </c>
      <c r="C528" s="39">
        <v>194.20500000000001</v>
      </c>
      <c r="D528" s="39">
        <v>267.46600000000001</v>
      </c>
      <c r="E528" s="45">
        <v>812.32899999999995</v>
      </c>
      <c r="F528" s="39">
        <v>1274</v>
      </c>
      <c r="G528" s="39">
        <v>50</v>
      </c>
      <c r="H528" s="47">
        <v>600</v>
      </c>
      <c r="I528" s="39">
        <v>695</v>
      </c>
      <c r="J528" s="39">
        <v>0</v>
      </c>
      <c r="K528" s="40"/>
      <c r="L528" s="40"/>
      <c r="M528" s="40"/>
      <c r="N528" s="40"/>
      <c r="O528" s="40"/>
      <c r="P528" s="40"/>
      <c r="Q528" s="40"/>
      <c r="R528" s="40"/>
      <c r="S528" s="40"/>
      <c r="T528" s="40"/>
    </row>
    <row r="529" spans="1:20" ht="15.75">
      <c r="A529" s="13">
        <v>57253</v>
      </c>
      <c r="B529" s="48">
        <v>30</v>
      </c>
      <c r="C529" s="39">
        <v>194.20500000000001</v>
      </c>
      <c r="D529" s="39">
        <v>267.46600000000001</v>
      </c>
      <c r="E529" s="45">
        <v>812.32899999999995</v>
      </c>
      <c r="F529" s="39">
        <v>1274</v>
      </c>
      <c r="G529" s="39">
        <v>50</v>
      </c>
      <c r="H529" s="47">
        <v>600</v>
      </c>
      <c r="I529" s="39">
        <v>695</v>
      </c>
      <c r="J529" s="39">
        <v>0</v>
      </c>
      <c r="K529" s="40"/>
      <c r="L529" s="40"/>
      <c r="M529" s="40"/>
      <c r="N529" s="40"/>
      <c r="O529" s="40"/>
      <c r="P529" s="40"/>
      <c r="Q529" s="40"/>
      <c r="R529" s="40"/>
      <c r="S529" s="40"/>
      <c r="T529" s="40"/>
    </row>
    <row r="530" spans="1:20" ht="15.75">
      <c r="A530" s="13">
        <v>57284</v>
      </c>
      <c r="B530" s="48">
        <v>31</v>
      </c>
      <c r="C530" s="39">
        <v>131.881</v>
      </c>
      <c r="D530" s="39">
        <v>277.16699999999997</v>
      </c>
      <c r="E530" s="45">
        <v>829.952</v>
      </c>
      <c r="F530" s="39">
        <v>1239</v>
      </c>
      <c r="G530" s="39">
        <v>75</v>
      </c>
      <c r="H530" s="47">
        <v>600</v>
      </c>
      <c r="I530" s="39">
        <v>695</v>
      </c>
      <c r="J530" s="39">
        <v>0</v>
      </c>
      <c r="K530" s="40"/>
      <c r="L530" s="40"/>
      <c r="M530" s="40"/>
      <c r="N530" s="40"/>
      <c r="O530" s="40"/>
      <c r="P530" s="40"/>
      <c r="Q530" s="40"/>
      <c r="R530" s="40"/>
      <c r="S530" s="40"/>
      <c r="T530" s="40"/>
    </row>
    <row r="531" spans="1:20" ht="15.75">
      <c r="A531" s="13">
        <v>57314</v>
      </c>
      <c r="B531" s="48">
        <v>30</v>
      </c>
      <c r="C531" s="39">
        <v>122.58</v>
      </c>
      <c r="D531" s="39">
        <v>297.94099999999997</v>
      </c>
      <c r="E531" s="45">
        <v>729.47900000000004</v>
      </c>
      <c r="F531" s="39">
        <v>1150</v>
      </c>
      <c r="G531" s="39">
        <v>100</v>
      </c>
      <c r="H531" s="47">
        <v>600</v>
      </c>
      <c r="I531" s="39">
        <v>695</v>
      </c>
      <c r="J531" s="39">
        <v>50</v>
      </c>
      <c r="K531" s="40"/>
      <c r="L531" s="40"/>
      <c r="M531" s="40"/>
      <c r="N531" s="40"/>
      <c r="O531" s="40"/>
      <c r="P531" s="40"/>
      <c r="Q531" s="40"/>
      <c r="R531" s="40"/>
      <c r="S531" s="40"/>
      <c r="T531" s="40"/>
    </row>
    <row r="532" spans="1:20" ht="15.75">
      <c r="A532" s="13">
        <v>57345</v>
      </c>
      <c r="B532" s="48">
        <v>31</v>
      </c>
      <c r="C532" s="39">
        <v>122.58</v>
      </c>
      <c r="D532" s="39">
        <v>297.94099999999997</v>
      </c>
      <c r="E532" s="45">
        <v>729.47900000000004</v>
      </c>
      <c r="F532" s="39">
        <v>1150</v>
      </c>
      <c r="G532" s="39">
        <v>100</v>
      </c>
      <c r="H532" s="47">
        <v>600</v>
      </c>
      <c r="I532" s="39">
        <v>695</v>
      </c>
      <c r="J532" s="39">
        <v>50</v>
      </c>
      <c r="K532" s="40"/>
      <c r="L532" s="40"/>
      <c r="M532" s="40"/>
      <c r="N532" s="40"/>
      <c r="O532" s="40"/>
      <c r="P532" s="40"/>
      <c r="Q532" s="40"/>
      <c r="R532" s="40"/>
      <c r="S532" s="40"/>
      <c r="T532" s="40"/>
    </row>
    <row r="533" spans="1:20" ht="15.75">
      <c r="A533" s="13">
        <v>57376</v>
      </c>
      <c r="B533" s="48">
        <v>31</v>
      </c>
      <c r="C533" s="39">
        <v>122.58</v>
      </c>
      <c r="D533" s="39">
        <v>297.94099999999997</v>
      </c>
      <c r="E533" s="45">
        <v>729.47900000000004</v>
      </c>
      <c r="F533" s="39">
        <v>1150</v>
      </c>
      <c r="G533" s="39">
        <v>100</v>
      </c>
      <c r="H533" s="47">
        <v>600</v>
      </c>
      <c r="I533" s="39">
        <v>695</v>
      </c>
      <c r="J533" s="39">
        <v>50</v>
      </c>
      <c r="K533" s="40"/>
      <c r="L533" s="40"/>
      <c r="M533" s="40"/>
      <c r="N533" s="40"/>
      <c r="O533" s="40"/>
      <c r="P533" s="40"/>
      <c r="Q533" s="40"/>
      <c r="R533" s="40"/>
      <c r="S533" s="40"/>
      <c r="T533" s="40"/>
    </row>
    <row r="534" spans="1:20" ht="15.75">
      <c r="A534" s="13">
        <v>57404</v>
      </c>
      <c r="B534" s="48">
        <v>28</v>
      </c>
      <c r="C534" s="39">
        <v>122.58</v>
      </c>
      <c r="D534" s="39">
        <v>297.94099999999997</v>
      </c>
      <c r="E534" s="45">
        <v>729.47900000000004</v>
      </c>
      <c r="F534" s="39">
        <v>1150</v>
      </c>
      <c r="G534" s="39">
        <v>100</v>
      </c>
      <c r="H534" s="47">
        <v>600</v>
      </c>
      <c r="I534" s="39">
        <v>695</v>
      </c>
      <c r="J534" s="39">
        <v>50</v>
      </c>
      <c r="K534" s="40"/>
      <c r="L534" s="40"/>
      <c r="M534" s="40"/>
      <c r="N534" s="40"/>
      <c r="O534" s="40"/>
      <c r="P534" s="40"/>
      <c r="Q534" s="40"/>
      <c r="R534" s="40"/>
      <c r="S534" s="40"/>
      <c r="T534" s="40"/>
    </row>
    <row r="535" spans="1:20" ht="15.75">
      <c r="A535" s="13">
        <v>57435</v>
      </c>
      <c r="B535" s="48">
        <v>31</v>
      </c>
      <c r="C535" s="39">
        <v>122.58</v>
      </c>
      <c r="D535" s="39">
        <v>297.94099999999997</v>
      </c>
      <c r="E535" s="45">
        <v>729.47900000000004</v>
      </c>
      <c r="F535" s="39">
        <v>1150</v>
      </c>
      <c r="G535" s="39">
        <v>100</v>
      </c>
      <c r="H535" s="47">
        <v>600</v>
      </c>
      <c r="I535" s="39">
        <v>695</v>
      </c>
      <c r="J535" s="39">
        <v>50</v>
      </c>
      <c r="K535" s="40"/>
      <c r="L535" s="40"/>
      <c r="M535" s="40"/>
      <c r="N535" s="40"/>
      <c r="O535" s="40"/>
      <c r="P535" s="40"/>
      <c r="Q535" s="40"/>
      <c r="R535" s="40"/>
      <c r="S535" s="40"/>
      <c r="T535" s="40"/>
    </row>
    <row r="536" spans="1:20" ht="15.75">
      <c r="A536" s="13">
        <v>57465</v>
      </c>
      <c r="B536" s="48">
        <v>30</v>
      </c>
      <c r="C536" s="39">
        <v>141.29300000000001</v>
      </c>
      <c r="D536" s="39">
        <v>267.99299999999999</v>
      </c>
      <c r="E536" s="45">
        <v>829.71400000000006</v>
      </c>
      <c r="F536" s="39">
        <v>1239</v>
      </c>
      <c r="G536" s="39">
        <v>100</v>
      </c>
      <c r="H536" s="47">
        <v>600</v>
      </c>
      <c r="I536" s="39">
        <v>695</v>
      </c>
      <c r="J536" s="39">
        <v>50</v>
      </c>
      <c r="K536" s="40"/>
      <c r="L536" s="40"/>
      <c r="M536" s="40"/>
      <c r="N536" s="40"/>
      <c r="O536" s="40"/>
      <c r="P536" s="40"/>
      <c r="Q536" s="40"/>
      <c r="R536" s="40"/>
      <c r="S536" s="40"/>
      <c r="T536" s="40"/>
    </row>
    <row r="537" spans="1:20" ht="15.75">
      <c r="A537" s="13">
        <v>57496</v>
      </c>
      <c r="B537" s="48">
        <v>31</v>
      </c>
      <c r="C537" s="39">
        <v>194.20500000000001</v>
      </c>
      <c r="D537" s="39">
        <v>267.46600000000001</v>
      </c>
      <c r="E537" s="45">
        <v>812.32899999999995</v>
      </c>
      <c r="F537" s="39">
        <v>1274</v>
      </c>
      <c r="G537" s="39">
        <v>75</v>
      </c>
      <c r="H537" s="47">
        <v>600</v>
      </c>
      <c r="I537" s="39">
        <v>695</v>
      </c>
      <c r="J537" s="39">
        <v>50</v>
      </c>
      <c r="K537" s="40"/>
      <c r="L537" s="40"/>
      <c r="M537" s="40"/>
      <c r="N537" s="40"/>
      <c r="O537" s="40"/>
      <c r="P537" s="40"/>
      <c r="Q537" s="40"/>
      <c r="R537" s="40"/>
      <c r="S537" s="40"/>
      <c r="T537" s="40"/>
    </row>
    <row r="538" spans="1:20" ht="15.75">
      <c r="A538" s="13">
        <v>57526</v>
      </c>
      <c r="B538" s="48">
        <v>30</v>
      </c>
      <c r="C538" s="39">
        <v>194.20500000000001</v>
      </c>
      <c r="D538" s="39">
        <v>267.46600000000001</v>
      </c>
      <c r="E538" s="45">
        <v>812.32899999999995</v>
      </c>
      <c r="F538" s="39">
        <v>1274</v>
      </c>
      <c r="G538" s="39">
        <v>50</v>
      </c>
      <c r="H538" s="47">
        <v>600</v>
      </c>
      <c r="I538" s="39">
        <v>695</v>
      </c>
      <c r="J538" s="39">
        <v>50</v>
      </c>
      <c r="K538" s="40"/>
      <c r="L538" s="40"/>
      <c r="M538" s="40"/>
      <c r="N538" s="40"/>
      <c r="O538" s="40"/>
      <c r="P538" s="40"/>
      <c r="Q538" s="40"/>
      <c r="R538" s="40"/>
      <c r="S538" s="40"/>
      <c r="T538" s="40"/>
    </row>
    <row r="539" spans="1:20" ht="15.75">
      <c r="A539" s="13">
        <v>57557</v>
      </c>
      <c r="B539" s="48">
        <v>31</v>
      </c>
      <c r="C539" s="39">
        <v>194.20500000000001</v>
      </c>
      <c r="D539" s="39">
        <v>267.46600000000001</v>
      </c>
      <c r="E539" s="45">
        <v>812.32899999999995</v>
      </c>
      <c r="F539" s="39">
        <v>1274</v>
      </c>
      <c r="G539" s="39">
        <v>50</v>
      </c>
      <c r="H539" s="47">
        <v>600</v>
      </c>
      <c r="I539" s="39">
        <v>695</v>
      </c>
      <c r="J539" s="39">
        <v>0</v>
      </c>
      <c r="K539" s="40"/>
      <c r="L539" s="40"/>
      <c r="M539" s="40"/>
      <c r="N539" s="40"/>
      <c r="O539" s="40"/>
      <c r="P539" s="40"/>
      <c r="Q539" s="40"/>
      <c r="R539" s="40"/>
      <c r="S539" s="40"/>
      <c r="T539" s="40"/>
    </row>
    <row r="540" spans="1:20" ht="15.75">
      <c r="A540" s="13">
        <v>57588</v>
      </c>
      <c r="B540" s="48">
        <v>31</v>
      </c>
      <c r="C540" s="39">
        <v>194.20500000000001</v>
      </c>
      <c r="D540" s="39">
        <v>267.46600000000001</v>
      </c>
      <c r="E540" s="45">
        <v>812.32899999999995</v>
      </c>
      <c r="F540" s="39">
        <v>1274</v>
      </c>
      <c r="G540" s="39">
        <v>50</v>
      </c>
      <c r="H540" s="47">
        <v>600</v>
      </c>
      <c r="I540" s="39">
        <v>695</v>
      </c>
      <c r="J540" s="39">
        <v>0</v>
      </c>
      <c r="K540" s="40"/>
      <c r="L540" s="40"/>
      <c r="M540" s="40"/>
      <c r="N540" s="40"/>
      <c r="O540" s="40"/>
      <c r="P540" s="40"/>
      <c r="Q540" s="40"/>
      <c r="R540" s="40"/>
      <c r="S540" s="40"/>
      <c r="T540" s="40"/>
    </row>
    <row r="541" spans="1:20" ht="15.75">
      <c r="A541" s="13">
        <v>57618</v>
      </c>
      <c r="B541" s="48">
        <v>30</v>
      </c>
      <c r="C541" s="39">
        <v>194.20500000000001</v>
      </c>
      <c r="D541" s="39">
        <v>267.46600000000001</v>
      </c>
      <c r="E541" s="45">
        <v>812.32899999999995</v>
      </c>
      <c r="F541" s="39">
        <v>1274</v>
      </c>
      <c r="G541" s="39">
        <v>50</v>
      </c>
      <c r="H541" s="47">
        <v>600</v>
      </c>
      <c r="I541" s="39">
        <v>695</v>
      </c>
      <c r="J541" s="39">
        <v>0</v>
      </c>
      <c r="K541" s="40"/>
      <c r="L541" s="40"/>
      <c r="M541" s="40"/>
      <c r="N541" s="40"/>
      <c r="O541" s="40"/>
      <c r="P541" s="40"/>
      <c r="Q541" s="40"/>
      <c r="R541" s="40"/>
      <c r="S541" s="40"/>
      <c r="T541" s="40"/>
    </row>
    <row r="542" spans="1:20" ht="15.75">
      <c r="A542" s="13">
        <v>57649</v>
      </c>
      <c r="B542" s="48">
        <v>31</v>
      </c>
      <c r="C542" s="39">
        <v>131.881</v>
      </c>
      <c r="D542" s="39">
        <v>277.16699999999997</v>
      </c>
      <c r="E542" s="45">
        <v>829.952</v>
      </c>
      <c r="F542" s="39">
        <v>1239</v>
      </c>
      <c r="G542" s="39">
        <v>75</v>
      </c>
      <c r="H542" s="47">
        <v>600</v>
      </c>
      <c r="I542" s="39">
        <v>695</v>
      </c>
      <c r="J542" s="39">
        <v>0</v>
      </c>
      <c r="K542" s="40"/>
      <c r="L542" s="40"/>
      <c r="M542" s="40"/>
      <c r="N542" s="40"/>
      <c r="O542" s="40"/>
      <c r="P542" s="40"/>
      <c r="Q542" s="40"/>
      <c r="R542" s="40"/>
      <c r="S542" s="40"/>
      <c r="T542" s="40"/>
    </row>
    <row r="543" spans="1:20" ht="15.75">
      <c r="A543" s="13">
        <v>57679</v>
      </c>
      <c r="B543" s="48">
        <v>30</v>
      </c>
      <c r="C543" s="39">
        <v>122.58</v>
      </c>
      <c r="D543" s="39">
        <v>297.94099999999997</v>
      </c>
      <c r="E543" s="45">
        <v>729.47900000000004</v>
      </c>
      <c r="F543" s="39">
        <v>1150</v>
      </c>
      <c r="G543" s="39">
        <v>100</v>
      </c>
      <c r="H543" s="47">
        <v>600</v>
      </c>
      <c r="I543" s="39">
        <v>695</v>
      </c>
      <c r="J543" s="39">
        <v>50</v>
      </c>
      <c r="K543" s="40"/>
      <c r="L543" s="40"/>
      <c r="M543" s="40"/>
      <c r="N543" s="40"/>
      <c r="O543" s="40"/>
      <c r="P543" s="40"/>
      <c r="Q543" s="40"/>
      <c r="R543" s="40"/>
      <c r="S543" s="40"/>
      <c r="T543" s="40"/>
    </row>
    <row r="544" spans="1:20" ht="15.75">
      <c r="A544" s="13">
        <v>57710</v>
      </c>
      <c r="B544" s="48">
        <v>31</v>
      </c>
      <c r="C544" s="39">
        <v>122.58</v>
      </c>
      <c r="D544" s="39">
        <v>297.94099999999997</v>
      </c>
      <c r="E544" s="45">
        <v>729.47900000000004</v>
      </c>
      <c r="F544" s="39">
        <v>1150</v>
      </c>
      <c r="G544" s="39">
        <v>100</v>
      </c>
      <c r="H544" s="47">
        <v>600</v>
      </c>
      <c r="I544" s="39">
        <v>695</v>
      </c>
      <c r="J544" s="39">
        <v>50</v>
      </c>
      <c r="K544" s="40"/>
      <c r="L544" s="40"/>
      <c r="M544" s="40"/>
      <c r="N544" s="40"/>
      <c r="O544" s="40"/>
      <c r="P544" s="40"/>
      <c r="Q544" s="40"/>
      <c r="R544" s="40"/>
      <c r="S544" s="40"/>
      <c r="T544" s="40"/>
    </row>
    <row r="545" spans="1:20" ht="15.75">
      <c r="A545" s="13">
        <v>57741</v>
      </c>
      <c r="B545" s="48">
        <v>31</v>
      </c>
      <c r="C545" s="39">
        <v>122.58</v>
      </c>
      <c r="D545" s="39">
        <v>297.94099999999997</v>
      </c>
      <c r="E545" s="45">
        <v>729.47900000000004</v>
      </c>
      <c r="F545" s="39">
        <v>1150</v>
      </c>
      <c r="G545" s="39">
        <v>100</v>
      </c>
      <c r="H545" s="47">
        <v>600</v>
      </c>
      <c r="I545" s="39">
        <v>695</v>
      </c>
      <c r="J545" s="39">
        <v>50</v>
      </c>
      <c r="K545" s="40"/>
      <c r="L545" s="40"/>
      <c r="M545" s="40"/>
      <c r="N545" s="40"/>
      <c r="O545" s="40"/>
      <c r="P545" s="40"/>
      <c r="Q545" s="40"/>
      <c r="R545" s="40"/>
      <c r="S545" s="40"/>
      <c r="T545" s="40"/>
    </row>
    <row r="546" spans="1:20" ht="15.75">
      <c r="A546" s="13">
        <v>57769</v>
      </c>
      <c r="B546" s="48">
        <v>28</v>
      </c>
      <c r="C546" s="39">
        <v>122.58</v>
      </c>
      <c r="D546" s="39">
        <v>297.94099999999997</v>
      </c>
      <c r="E546" s="45">
        <v>729.47900000000004</v>
      </c>
      <c r="F546" s="39">
        <v>1150</v>
      </c>
      <c r="G546" s="39">
        <v>100</v>
      </c>
      <c r="H546" s="47">
        <v>600</v>
      </c>
      <c r="I546" s="39">
        <v>695</v>
      </c>
      <c r="J546" s="39">
        <v>50</v>
      </c>
      <c r="K546" s="40"/>
      <c r="L546" s="40"/>
      <c r="M546" s="40"/>
      <c r="N546" s="40"/>
      <c r="O546" s="40"/>
      <c r="P546" s="40"/>
      <c r="Q546" s="40"/>
      <c r="R546" s="40"/>
      <c r="S546" s="40"/>
      <c r="T546" s="40"/>
    </row>
    <row r="547" spans="1:20" ht="15.75">
      <c r="A547" s="13">
        <v>57800</v>
      </c>
      <c r="B547" s="48">
        <v>31</v>
      </c>
      <c r="C547" s="39">
        <v>122.58</v>
      </c>
      <c r="D547" s="39">
        <v>297.94099999999997</v>
      </c>
      <c r="E547" s="45">
        <v>729.47900000000004</v>
      </c>
      <c r="F547" s="39">
        <v>1150</v>
      </c>
      <c r="G547" s="39">
        <v>100</v>
      </c>
      <c r="H547" s="47">
        <v>600</v>
      </c>
      <c r="I547" s="39">
        <v>695</v>
      </c>
      <c r="J547" s="39">
        <v>50</v>
      </c>
      <c r="K547" s="40"/>
      <c r="L547" s="40"/>
      <c r="M547" s="40"/>
      <c r="N547" s="40"/>
      <c r="O547" s="40"/>
      <c r="P547" s="40"/>
      <c r="Q547" s="40"/>
      <c r="R547" s="40"/>
      <c r="S547" s="40"/>
      <c r="T547" s="40"/>
    </row>
    <row r="548" spans="1:20" ht="15.75">
      <c r="A548" s="13">
        <v>57830</v>
      </c>
      <c r="B548" s="48">
        <v>30</v>
      </c>
      <c r="C548" s="39">
        <v>141.29300000000001</v>
      </c>
      <c r="D548" s="39">
        <v>267.99299999999999</v>
      </c>
      <c r="E548" s="45">
        <v>829.71400000000006</v>
      </c>
      <c r="F548" s="39">
        <v>1239</v>
      </c>
      <c r="G548" s="39">
        <v>100</v>
      </c>
      <c r="H548" s="47">
        <v>600</v>
      </c>
      <c r="I548" s="39">
        <v>695</v>
      </c>
      <c r="J548" s="39">
        <v>50</v>
      </c>
      <c r="K548" s="40"/>
      <c r="L548" s="40"/>
      <c r="M548" s="40"/>
      <c r="N548" s="40"/>
      <c r="O548" s="40"/>
      <c r="P548" s="40"/>
      <c r="Q548" s="40"/>
      <c r="R548" s="40"/>
      <c r="S548" s="40"/>
      <c r="T548" s="40"/>
    </row>
    <row r="549" spans="1:20" ht="15.75">
      <c r="A549" s="13">
        <v>57861</v>
      </c>
      <c r="B549" s="48">
        <v>31</v>
      </c>
      <c r="C549" s="39">
        <v>194.20500000000001</v>
      </c>
      <c r="D549" s="39">
        <v>267.46600000000001</v>
      </c>
      <c r="E549" s="45">
        <v>812.32899999999995</v>
      </c>
      <c r="F549" s="39">
        <v>1274</v>
      </c>
      <c r="G549" s="39">
        <v>75</v>
      </c>
      <c r="H549" s="47">
        <v>600</v>
      </c>
      <c r="I549" s="39">
        <v>695</v>
      </c>
      <c r="J549" s="39">
        <v>50</v>
      </c>
      <c r="K549" s="40"/>
      <c r="L549" s="40"/>
      <c r="M549" s="40"/>
      <c r="N549" s="40"/>
      <c r="O549" s="40"/>
      <c r="P549" s="40"/>
      <c r="Q549" s="40"/>
      <c r="R549" s="40"/>
      <c r="S549" s="40"/>
      <c r="T549" s="40"/>
    </row>
    <row r="550" spans="1:20" ht="15.75">
      <c r="A550" s="13">
        <v>57891</v>
      </c>
      <c r="B550" s="48">
        <v>30</v>
      </c>
      <c r="C550" s="39">
        <v>194.20500000000001</v>
      </c>
      <c r="D550" s="39">
        <v>267.46600000000001</v>
      </c>
      <c r="E550" s="45">
        <v>812.32899999999995</v>
      </c>
      <c r="F550" s="39">
        <v>1274</v>
      </c>
      <c r="G550" s="39">
        <v>50</v>
      </c>
      <c r="H550" s="47">
        <v>600</v>
      </c>
      <c r="I550" s="39">
        <v>695</v>
      </c>
      <c r="J550" s="39">
        <v>50</v>
      </c>
      <c r="K550" s="40"/>
      <c r="L550" s="40"/>
      <c r="M550" s="40"/>
      <c r="N550" s="40"/>
      <c r="O550" s="40"/>
      <c r="P550" s="40"/>
      <c r="Q550" s="40"/>
      <c r="R550" s="40"/>
      <c r="S550" s="40"/>
      <c r="T550" s="40"/>
    </row>
    <row r="551" spans="1:20" ht="15.75">
      <c r="A551" s="13">
        <v>57922</v>
      </c>
      <c r="B551" s="48">
        <v>31</v>
      </c>
      <c r="C551" s="39">
        <v>194.20500000000001</v>
      </c>
      <c r="D551" s="39">
        <v>267.46600000000001</v>
      </c>
      <c r="E551" s="45">
        <v>812.32899999999995</v>
      </c>
      <c r="F551" s="39">
        <v>1274</v>
      </c>
      <c r="G551" s="39">
        <v>50</v>
      </c>
      <c r="H551" s="47">
        <v>600</v>
      </c>
      <c r="I551" s="39">
        <v>695</v>
      </c>
      <c r="J551" s="39">
        <v>0</v>
      </c>
      <c r="K551" s="40"/>
      <c r="L551" s="40"/>
      <c r="M551" s="40"/>
      <c r="N551" s="40"/>
      <c r="O551" s="40"/>
      <c r="P551" s="40"/>
      <c r="Q551" s="40"/>
      <c r="R551" s="40"/>
      <c r="S551" s="40"/>
      <c r="T551" s="40"/>
    </row>
    <row r="552" spans="1:20" ht="15.75">
      <c r="A552" s="13">
        <v>57953</v>
      </c>
      <c r="B552" s="48">
        <v>31</v>
      </c>
      <c r="C552" s="39">
        <v>194.20500000000001</v>
      </c>
      <c r="D552" s="39">
        <v>267.46600000000001</v>
      </c>
      <c r="E552" s="45">
        <v>812.32899999999995</v>
      </c>
      <c r="F552" s="39">
        <v>1274</v>
      </c>
      <c r="G552" s="39">
        <v>50</v>
      </c>
      <c r="H552" s="47">
        <v>600</v>
      </c>
      <c r="I552" s="39">
        <v>695</v>
      </c>
      <c r="J552" s="39">
        <v>0</v>
      </c>
      <c r="K552" s="40"/>
      <c r="L552" s="40"/>
      <c r="M552" s="40"/>
      <c r="N552" s="40"/>
      <c r="O552" s="40"/>
      <c r="P552" s="40"/>
      <c r="Q552" s="40"/>
      <c r="R552" s="40"/>
      <c r="S552" s="40"/>
      <c r="T552" s="40"/>
    </row>
    <row r="553" spans="1:20" ht="15.75">
      <c r="A553" s="13">
        <v>57983</v>
      </c>
      <c r="B553" s="48">
        <v>30</v>
      </c>
      <c r="C553" s="39">
        <v>194.20500000000001</v>
      </c>
      <c r="D553" s="39">
        <v>267.46600000000001</v>
      </c>
      <c r="E553" s="45">
        <v>812.32899999999995</v>
      </c>
      <c r="F553" s="39">
        <v>1274</v>
      </c>
      <c r="G553" s="39">
        <v>50</v>
      </c>
      <c r="H553" s="47">
        <v>600</v>
      </c>
      <c r="I553" s="39">
        <v>695</v>
      </c>
      <c r="J553" s="39">
        <v>0</v>
      </c>
      <c r="K553" s="40"/>
      <c r="L553" s="40"/>
      <c r="M553" s="40"/>
      <c r="N553" s="40"/>
      <c r="O553" s="40"/>
      <c r="P553" s="40"/>
      <c r="Q553" s="40"/>
      <c r="R553" s="40"/>
      <c r="S553" s="40"/>
      <c r="T553" s="40"/>
    </row>
    <row r="554" spans="1:20" ht="15.75">
      <c r="A554" s="13">
        <v>58014</v>
      </c>
      <c r="B554" s="48">
        <v>31</v>
      </c>
      <c r="C554" s="39">
        <v>131.881</v>
      </c>
      <c r="D554" s="39">
        <v>277.16699999999997</v>
      </c>
      <c r="E554" s="45">
        <v>829.952</v>
      </c>
      <c r="F554" s="39">
        <v>1239</v>
      </c>
      <c r="G554" s="39">
        <v>75</v>
      </c>
      <c r="H554" s="47">
        <v>600</v>
      </c>
      <c r="I554" s="39">
        <v>695</v>
      </c>
      <c r="J554" s="39">
        <v>0</v>
      </c>
      <c r="K554" s="40"/>
      <c r="L554" s="40"/>
      <c r="M554" s="40"/>
      <c r="N554" s="40"/>
      <c r="O554" s="40"/>
      <c r="P554" s="40"/>
      <c r="Q554" s="40"/>
      <c r="R554" s="40"/>
      <c r="S554" s="40"/>
      <c r="T554" s="40"/>
    </row>
    <row r="555" spans="1:20" ht="15.75">
      <c r="A555" s="13">
        <v>58044</v>
      </c>
      <c r="B555" s="48">
        <v>30</v>
      </c>
      <c r="C555" s="39">
        <v>122.58</v>
      </c>
      <c r="D555" s="39">
        <v>297.94099999999997</v>
      </c>
      <c r="E555" s="45">
        <v>729.47900000000004</v>
      </c>
      <c r="F555" s="39">
        <v>1150</v>
      </c>
      <c r="G555" s="39">
        <v>100</v>
      </c>
      <c r="H555" s="47">
        <v>600</v>
      </c>
      <c r="I555" s="39">
        <v>695</v>
      </c>
      <c r="J555" s="39">
        <v>50</v>
      </c>
      <c r="K555" s="40"/>
      <c r="L555" s="40"/>
      <c r="M555" s="40"/>
      <c r="N555" s="40"/>
      <c r="O555" s="40"/>
      <c r="P555" s="40"/>
      <c r="Q555" s="40"/>
      <c r="R555" s="40"/>
      <c r="S555" s="40"/>
      <c r="T555" s="40"/>
    </row>
    <row r="556" spans="1:20" ht="15.75">
      <c r="A556" s="13">
        <v>58075</v>
      </c>
      <c r="B556" s="48">
        <v>31</v>
      </c>
      <c r="C556" s="39">
        <v>122.58</v>
      </c>
      <c r="D556" s="39">
        <v>297.94099999999997</v>
      </c>
      <c r="E556" s="45">
        <v>729.47900000000004</v>
      </c>
      <c r="F556" s="39">
        <v>1150</v>
      </c>
      <c r="G556" s="39">
        <v>100</v>
      </c>
      <c r="H556" s="47">
        <v>600</v>
      </c>
      <c r="I556" s="39">
        <v>695</v>
      </c>
      <c r="J556" s="39">
        <v>50</v>
      </c>
      <c r="K556" s="40"/>
      <c r="L556" s="40"/>
      <c r="M556" s="40"/>
      <c r="N556" s="40"/>
      <c r="O556" s="40"/>
      <c r="P556" s="40"/>
      <c r="Q556" s="40"/>
      <c r="R556" s="40"/>
      <c r="S556" s="40"/>
      <c r="T556" s="40"/>
    </row>
    <row r="557" spans="1:20" ht="15.75">
      <c r="A557" s="13">
        <v>58106</v>
      </c>
      <c r="B557" s="48">
        <v>31</v>
      </c>
      <c r="C557" s="39">
        <v>122.58</v>
      </c>
      <c r="D557" s="39">
        <v>297.94099999999997</v>
      </c>
      <c r="E557" s="45">
        <v>729.47900000000004</v>
      </c>
      <c r="F557" s="39">
        <v>1150</v>
      </c>
      <c r="G557" s="39">
        <v>100</v>
      </c>
      <c r="H557" s="47">
        <v>600</v>
      </c>
      <c r="I557" s="39">
        <v>695</v>
      </c>
      <c r="J557" s="39">
        <v>50</v>
      </c>
      <c r="K557" s="40"/>
      <c r="L557" s="40"/>
      <c r="M557" s="40"/>
      <c r="N557" s="40"/>
      <c r="O557" s="40"/>
      <c r="P557" s="40"/>
      <c r="Q557" s="40"/>
      <c r="R557" s="40"/>
      <c r="S557" s="40"/>
      <c r="T557" s="40"/>
    </row>
    <row r="558" spans="1:20" ht="15.75">
      <c r="A558" s="13">
        <v>58134</v>
      </c>
      <c r="B558" s="48">
        <v>28</v>
      </c>
      <c r="C558" s="39">
        <v>122.58</v>
      </c>
      <c r="D558" s="39">
        <v>297.94099999999997</v>
      </c>
      <c r="E558" s="45">
        <v>729.47900000000004</v>
      </c>
      <c r="F558" s="39">
        <v>1150</v>
      </c>
      <c r="G558" s="39">
        <v>100</v>
      </c>
      <c r="H558" s="47">
        <v>600</v>
      </c>
      <c r="I558" s="39">
        <v>695</v>
      </c>
      <c r="J558" s="39">
        <v>50</v>
      </c>
      <c r="K558" s="40"/>
      <c r="L558" s="40"/>
      <c r="M558" s="40"/>
      <c r="N558" s="40"/>
      <c r="O558" s="40"/>
      <c r="P558" s="40"/>
      <c r="Q558" s="40"/>
      <c r="R558" s="40"/>
      <c r="S558" s="40"/>
      <c r="T558" s="40"/>
    </row>
    <row r="559" spans="1:20" ht="15.75">
      <c r="A559" s="13">
        <v>58165</v>
      </c>
      <c r="B559" s="48">
        <v>31</v>
      </c>
      <c r="C559" s="39">
        <v>122.58</v>
      </c>
      <c r="D559" s="39">
        <v>297.94099999999997</v>
      </c>
      <c r="E559" s="45">
        <v>729.47900000000004</v>
      </c>
      <c r="F559" s="39">
        <v>1150</v>
      </c>
      <c r="G559" s="39">
        <v>100</v>
      </c>
      <c r="H559" s="47">
        <v>600</v>
      </c>
      <c r="I559" s="39">
        <v>695</v>
      </c>
      <c r="J559" s="39">
        <v>50</v>
      </c>
      <c r="K559" s="40"/>
      <c r="L559" s="40"/>
      <c r="M559" s="40"/>
      <c r="N559" s="40"/>
      <c r="O559" s="40"/>
      <c r="P559" s="40"/>
      <c r="Q559" s="40"/>
      <c r="R559" s="40"/>
      <c r="S559" s="40"/>
      <c r="T559" s="40"/>
    </row>
    <row r="560" spans="1:20" ht="15.75">
      <c r="A560" s="13">
        <v>58195</v>
      </c>
      <c r="B560" s="48">
        <v>30</v>
      </c>
      <c r="C560" s="39">
        <v>141.29300000000001</v>
      </c>
      <c r="D560" s="39">
        <v>267.99299999999999</v>
      </c>
      <c r="E560" s="45">
        <v>829.71400000000006</v>
      </c>
      <c r="F560" s="39">
        <v>1239</v>
      </c>
      <c r="G560" s="39">
        <v>100</v>
      </c>
      <c r="H560" s="47">
        <v>600</v>
      </c>
      <c r="I560" s="39">
        <v>695</v>
      </c>
      <c r="J560" s="39">
        <v>50</v>
      </c>
      <c r="K560" s="40"/>
      <c r="L560" s="40"/>
      <c r="M560" s="40"/>
      <c r="N560" s="40"/>
      <c r="O560" s="40"/>
      <c r="P560" s="40"/>
      <c r="Q560" s="40"/>
      <c r="R560" s="40"/>
      <c r="S560" s="40"/>
      <c r="T560" s="40"/>
    </row>
    <row r="561" spans="1:20" ht="15.75">
      <c r="A561" s="13">
        <v>58226</v>
      </c>
      <c r="B561" s="48">
        <v>31</v>
      </c>
      <c r="C561" s="39">
        <v>194.20500000000001</v>
      </c>
      <c r="D561" s="39">
        <v>267.46600000000001</v>
      </c>
      <c r="E561" s="45">
        <v>812.32899999999995</v>
      </c>
      <c r="F561" s="39">
        <v>1274</v>
      </c>
      <c r="G561" s="39">
        <v>75</v>
      </c>
      <c r="H561" s="47">
        <v>600</v>
      </c>
      <c r="I561" s="39">
        <v>695</v>
      </c>
      <c r="J561" s="39">
        <v>50</v>
      </c>
      <c r="K561" s="40"/>
      <c r="L561" s="40"/>
      <c r="M561" s="40"/>
      <c r="N561" s="40"/>
      <c r="O561" s="40"/>
      <c r="P561" s="40"/>
      <c r="Q561" s="40"/>
      <c r="R561" s="40"/>
      <c r="S561" s="40"/>
      <c r="T561" s="40"/>
    </row>
    <row r="562" spans="1:20" ht="15.75">
      <c r="A562" s="13">
        <v>58256</v>
      </c>
      <c r="B562" s="48">
        <v>30</v>
      </c>
      <c r="C562" s="39">
        <v>194.20500000000001</v>
      </c>
      <c r="D562" s="39">
        <v>267.46600000000001</v>
      </c>
      <c r="E562" s="45">
        <v>812.32899999999995</v>
      </c>
      <c r="F562" s="39">
        <v>1274</v>
      </c>
      <c r="G562" s="39">
        <v>50</v>
      </c>
      <c r="H562" s="47">
        <v>600</v>
      </c>
      <c r="I562" s="39">
        <v>695</v>
      </c>
      <c r="J562" s="39">
        <v>50</v>
      </c>
      <c r="K562" s="40"/>
      <c r="L562" s="40"/>
      <c r="M562" s="40"/>
      <c r="N562" s="40"/>
      <c r="O562" s="40"/>
      <c r="P562" s="40"/>
      <c r="Q562" s="40"/>
      <c r="R562" s="40"/>
      <c r="S562" s="40"/>
      <c r="T562" s="40"/>
    </row>
    <row r="563" spans="1:20" ht="15.75">
      <c r="A563" s="13">
        <v>58287</v>
      </c>
      <c r="B563" s="48">
        <v>31</v>
      </c>
      <c r="C563" s="39">
        <v>194.20500000000001</v>
      </c>
      <c r="D563" s="39">
        <v>267.46600000000001</v>
      </c>
      <c r="E563" s="45">
        <v>812.32899999999995</v>
      </c>
      <c r="F563" s="39">
        <v>1274</v>
      </c>
      <c r="G563" s="39">
        <v>50</v>
      </c>
      <c r="H563" s="47">
        <v>600</v>
      </c>
      <c r="I563" s="39">
        <v>695</v>
      </c>
      <c r="J563" s="39">
        <v>0</v>
      </c>
      <c r="K563" s="40"/>
      <c r="L563" s="40"/>
      <c r="M563" s="40"/>
      <c r="N563" s="40"/>
      <c r="O563" s="40"/>
      <c r="P563" s="40"/>
      <c r="Q563" s="40"/>
      <c r="R563" s="40"/>
      <c r="S563" s="40"/>
      <c r="T563" s="40"/>
    </row>
    <row r="564" spans="1:20" ht="15.75">
      <c r="A564" s="13">
        <v>58318</v>
      </c>
      <c r="B564" s="48">
        <v>31</v>
      </c>
      <c r="C564" s="39">
        <v>194.20500000000001</v>
      </c>
      <c r="D564" s="39">
        <v>267.46600000000001</v>
      </c>
      <c r="E564" s="45">
        <v>812.32899999999995</v>
      </c>
      <c r="F564" s="39">
        <v>1274</v>
      </c>
      <c r="G564" s="39">
        <v>50</v>
      </c>
      <c r="H564" s="47">
        <v>600</v>
      </c>
      <c r="I564" s="39">
        <v>695</v>
      </c>
      <c r="J564" s="39">
        <v>0</v>
      </c>
      <c r="K564" s="40"/>
      <c r="L564" s="40"/>
      <c r="M564" s="40"/>
      <c r="N564" s="40"/>
      <c r="O564" s="40"/>
      <c r="P564" s="40"/>
      <c r="Q564" s="40"/>
      <c r="R564" s="40"/>
      <c r="S564" s="40"/>
      <c r="T564" s="40"/>
    </row>
    <row r="565" spans="1:20" ht="15.75">
      <c r="A565" s="13">
        <v>58348</v>
      </c>
      <c r="B565" s="48">
        <v>30</v>
      </c>
      <c r="C565" s="39">
        <v>194.20500000000001</v>
      </c>
      <c r="D565" s="39">
        <v>267.46600000000001</v>
      </c>
      <c r="E565" s="45">
        <v>812.32899999999995</v>
      </c>
      <c r="F565" s="39">
        <v>1274</v>
      </c>
      <c r="G565" s="39">
        <v>50</v>
      </c>
      <c r="H565" s="47">
        <v>600</v>
      </c>
      <c r="I565" s="39">
        <v>695</v>
      </c>
      <c r="J565" s="39">
        <v>0</v>
      </c>
      <c r="K565" s="40"/>
      <c r="L565" s="40"/>
      <c r="M565" s="40"/>
      <c r="N565" s="40"/>
      <c r="O565" s="40"/>
      <c r="P565" s="40"/>
      <c r="Q565" s="40"/>
      <c r="R565" s="40"/>
      <c r="S565" s="40"/>
      <c r="T565" s="40"/>
    </row>
    <row r="566" spans="1:20" ht="15.75">
      <c r="A566" s="13">
        <v>58379</v>
      </c>
      <c r="B566" s="48">
        <v>31</v>
      </c>
      <c r="C566" s="39">
        <v>131.881</v>
      </c>
      <c r="D566" s="39">
        <v>277.16699999999997</v>
      </c>
      <c r="E566" s="45">
        <v>829.952</v>
      </c>
      <c r="F566" s="39">
        <v>1239</v>
      </c>
      <c r="G566" s="39">
        <v>75</v>
      </c>
      <c r="H566" s="47">
        <v>600</v>
      </c>
      <c r="I566" s="39">
        <v>695</v>
      </c>
      <c r="J566" s="39">
        <v>0</v>
      </c>
      <c r="K566" s="40"/>
      <c r="L566" s="40"/>
      <c r="M566" s="40"/>
      <c r="N566" s="40"/>
      <c r="O566" s="40"/>
      <c r="P566" s="40"/>
      <c r="Q566" s="40"/>
      <c r="R566" s="40"/>
      <c r="S566" s="40"/>
      <c r="T566" s="40"/>
    </row>
    <row r="567" spans="1:20" ht="15.75">
      <c r="A567" s="13">
        <v>58409</v>
      </c>
      <c r="B567" s="48">
        <v>30</v>
      </c>
      <c r="C567" s="39">
        <v>122.58</v>
      </c>
      <c r="D567" s="39">
        <v>297.94099999999997</v>
      </c>
      <c r="E567" s="45">
        <v>729.47900000000004</v>
      </c>
      <c r="F567" s="39">
        <v>1150</v>
      </c>
      <c r="G567" s="39">
        <v>100</v>
      </c>
      <c r="H567" s="47">
        <v>600</v>
      </c>
      <c r="I567" s="39">
        <v>695</v>
      </c>
      <c r="J567" s="39">
        <v>50</v>
      </c>
      <c r="K567" s="40"/>
      <c r="L567" s="40"/>
      <c r="M567" s="40"/>
      <c r="N567" s="40"/>
      <c r="O567" s="40"/>
      <c r="P567" s="40"/>
      <c r="Q567" s="40"/>
      <c r="R567" s="40"/>
      <c r="S567" s="40"/>
      <c r="T567" s="40"/>
    </row>
    <row r="568" spans="1:20" ht="15.75">
      <c r="A568" s="13">
        <v>58440</v>
      </c>
      <c r="B568" s="48">
        <v>31</v>
      </c>
      <c r="C568" s="39">
        <v>122.58</v>
      </c>
      <c r="D568" s="39">
        <v>297.94099999999997</v>
      </c>
      <c r="E568" s="45">
        <v>729.47900000000004</v>
      </c>
      <c r="F568" s="39">
        <v>1150</v>
      </c>
      <c r="G568" s="39">
        <v>100</v>
      </c>
      <c r="H568" s="47">
        <v>600</v>
      </c>
      <c r="I568" s="39">
        <v>695</v>
      </c>
      <c r="J568" s="39">
        <v>50</v>
      </c>
      <c r="K568" s="40"/>
      <c r="L568" s="40"/>
      <c r="M568" s="40"/>
      <c r="N568" s="40"/>
      <c r="O568" s="40"/>
      <c r="P568" s="40"/>
      <c r="Q568" s="40"/>
      <c r="R568" s="40"/>
      <c r="S568" s="40"/>
      <c r="T568" s="40"/>
    </row>
    <row r="569" spans="1:20" ht="15.75">
      <c r="A569" s="13">
        <v>58471</v>
      </c>
      <c r="B569" s="48">
        <v>31</v>
      </c>
      <c r="C569" s="39">
        <v>122.58</v>
      </c>
      <c r="D569" s="39">
        <v>297.94099999999997</v>
      </c>
      <c r="E569" s="45">
        <v>729.47900000000004</v>
      </c>
      <c r="F569" s="39">
        <v>1150</v>
      </c>
      <c r="G569" s="39">
        <v>100</v>
      </c>
      <c r="H569" s="47">
        <v>600</v>
      </c>
      <c r="I569" s="39">
        <v>695</v>
      </c>
      <c r="J569" s="39">
        <v>50</v>
      </c>
      <c r="K569" s="40"/>
      <c r="L569" s="40"/>
      <c r="M569" s="40"/>
      <c r="N569" s="40"/>
      <c r="O569" s="40"/>
      <c r="P569" s="40"/>
      <c r="Q569" s="40"/>
      <c r="R569" s="40"/>
      <c r="S569" s="40"/>
      <c r="T569" s="40"/>
    </row>
    <row r="570" spans="1:20" ht="15.75">
      <c r="A570" s="13">
        <v>58499</v>
      </c>
      <c r="B570" s="48">
        <v>29</v>
      </c>
      <c r="C570" s="39">
        <v>122.58</v>
      </c>
      <c r="D570" s="39">
        <v>297.94099999999997</v>
      </c>
      <c r="E570" s="45">
        <v>729.47900000000004</v>
      </c>
      <c r="F570" s="39">
        <v>1150</v>
      </c>
      <c r="G570" s="39">
        <v>100</v>
      </c>
      <c r="H570" s="47">
        <v>600</v>
      </c>
      <c r="I570" s="39">
        <v>695</v>
      </c>
      <c r="J570" s="39">
        <v>50</v>
      </c>
      <c r="K570" s="40"/>
      <c r="L570" s="40"/>
      <c r="M570" s="40"/>
      <c r="N570" s="40"/>
      <c r="O570" s="40"/>
      <c r="P570" s="40"/>
      <c r="Q570" s="40"/>
      <c r="R570" s="40"/>
      <c r="S570" s="40"/>
      <c r="T570" s="40"/>
    </row>
    <row r="571" spans="1:20" ht="15.75">
      <c r="A571" s="13">
        <v>58531</v>
      </c>
      <c r="B571" s="48">
        <v>31</v>
      </c>
      <c r="C571" s="39">
        <v>122.58</v>
      </c>
      <c r="D571" s="39">
        <v>297.94099999999997</v>
      </c>
      <c r="E571" s="45">
        <v>729.47900000000004</v>
      </c>
      <c r="F571" s="39">
        <v>1150</v>
      </c>
      <c r="G571" s="39">
        <v>100</v>
      </c>
      <c r="H571" s="47">
        <v>600</v>
      </c>
      <c r="I571" s="39">
        <v>695</v>
      </c>
      <c r="J571" s="39">
        <v>50</v>
      </c>
      <c r="K571" s="40"/>
      <c r="L571" s="40"/>
      <c r="M571" s="40"/>
      <c r="N571" s="40"/>
      <c r="O571" s="40"/>
      <c r="P571" s="40"/>
      <c r="Q571" s="40"/>
      <c r="R571" s="40"/>
      <c r="S571" s="40"/>
      <c r="T571" s="40"/>
    </row>
    <row r="572" spans="1:20" ht="15.75">
      <c r="A572" s="13">
        <v>58561</v>
      </c>
      <c r="B572" s="48">
        <v>30</v>
      </c>
      <c r="C572" s="39">
        <v>141.29300000000001</v>
      </c>
      <c r="D572" s="39">
        <v>267.99299999999999</v>
      </c>
      <c r="E572" s="45">
        <v>829.71400000000006</v>
      </c>
      <c r="F572" s="39">
        <v>1239</v>
      </c>
      <c r="G572" s="39">
        <v>100</v>
      </c>
      <c r="H572" s="47">
        <v>600</v>
      </c>
      <c r="I572" s="39">
        <v>695</v>
      </c>
      <c r="J572" s="39">
        <v>50</v>
      </c>
      <c r="K572" s="40"/>
      <c r="L572" s="40"/>
      <c r="M572" s="40"/>
      <c r="N572" s="40"/>
      <c r="O572" s="40"/>
      <c r="P572" s="40"/>
      <c r="Q572" s="40"/>
      <c r="R572" s="40"/>
      <c r="S572" s="40"/>
      <c r="T572" s="40"/>
    </row>
    <row r="573" spans="1:20" ht="15.75">
      <c r="A573" s="13">
        <v>58592</v>
      </c>
      <c r="B573" s="48">
        <v>31</v>
      </c>
      <c r="C573" s="39">
        <v>194.20500000000001</v>
      </c>
      <c r="D573" s="39">
        <v>267.46600000000001</v>
      </c>
      <c r="E573" s="45">
        <v>812.32899999999995</v>
      </c>
      <c r="F573" s="39">
        <v>1274</v>
      </c>
      <c r="G573" s="39">
        <v>75</v>
      </c>
      <c r="H573" s="47">
        <v>600</v>
      </c>
      <c r="I573" s="39">
        <v>695</v>
      </c>
      <c r="J573" s="39">
        <v>50</v>
      </c>
      <c r="K573" s="40"/>
      <c r="L573" s="40"/>
      <c r="M573" s="40"/>
      <c r="N573" s="40"/>
      <c r="O573" s="40"/>
      <c r="P573" s="40"/>
      <c r="Q573" s="40"/>
      <c r="R573" s="40"/>
      <c r="S573" s="40"/>
      <c r="T573" s="40"/>
    </row>
    <row r="574" spans="1:20" ht="15.75">
      <c r="A574" s="13">
        <v>58622</v>
      </c>
      <c r="B574" s="48">
        <v>30</v>
      </c>
      <c r="C574" s="39">
        <v>194.20500000000001</v>
      </c>
      <c r="D574" s="39">
        <v>267.46600000000001</v>
      </c>
      <c r="E574" s="45">
        <v>812.32899999999995</v>
      </c>
      <c r="F574" s="39">
        <v>1274</v>
      </c>
      <c r="G574" s="39">
        <v>50</v>
      </c>
      <c r="H574" s="47">
        <v>600</v>
      </c>
      <c r="I574" s="39">
        <v>695</v>
      </c>
      <c r="J574" s="39">
        <v>50</v>
      </c>
      <c r="K574" s="40"/>
      <c r="L574" s="40"/>
      <c r="M574" s="40"/>
      <c r="N574" s="40"/>
      <c r="O574" s="40"/>
      <c r="P574" s="40"/>
      <c r="Q574" s="40"/>
      <c r="R574" s="40"/>
      <c r="S574" s="40"/>
      <c r="T574" s="40"/>
    </row>
    <row r="575" spans="1:20" ht="15.75">
      <c r="A575" s="13">
        <v>58653</v>
      </c>
      <c r="B575" s="48">
        <v>31</v>
      </c>
      <c r="C575" s="39">
        <v>194.20500000000001</v>
      </c>
      <c r="D575" s="39">
        <v>267.46600000000001</v>
      </c>
      <c r="E575" s="45">
        <v>812.32899999999995</v>
      </c>
      <c r="F575" s="39">
        <v>1274</v>
      </c>
      <c r="G575" s="39">
        <v>50</v>
      </c>
      <c r="H575" s="47">
        <v>600</v>
      </c>
      <c r="I575" s="39">
        <v>695</v>
      </c>
      <c r="J575" s="39">
        <v>0</v>
      </c>
      <c r="K575" s="40"/>
      <c r="L575" s="40"/>
      <c r="M575" s="40"/>
      <c r="N575" s="40"/>
      <c r="O575" s="40"/>
      <c r="P575" s="40"/>
      <c r="Q575" s="40"/>
      <c r="R575" s="40"/>
      <c r="S575" s="40"/>
      <c r="T575" s="40"/>
    </row>
    <row r="576" spans="1:20" ht="15.75">
      <c r="A576" s="13">
        <v>58684</v>
      </c>
      <c r="B576" s="48">
        <v>31</v>
      </c>
      <c r="C576" s="39">
        <v>194.20500000000001</v>
      </c>
      <c r="D576" s="39">
        <v>267.46600000000001</v>
      </c>
      <c r="E576" s="45">
        <v>812.32899999999995</v>
      </c>
      <c r="F576" s="39">
        <v>1274</v>
      </c>
      <c r="G576" s="39">
        <v>50</v>
      </c>
      <c r="H576" s="47">
        <v>600</v>
      </c>
      <c r="I576" s="39">
        <v>695</v>
      </c>
      <c r="J576" s="39">
        <v>0</v>
      </c>
      <c r="K576" s="40"/>
      <c r="L576" s="40"/>
      <c r="M576" s="40"/>
      <c r="N576" s="40"/>
      <c r="O576" s="40"/>
      <c r="P576" s="40"/>
      <c r="Q576" s="40"/>
      <c r="R576" s="40"/>
      <c r="S576" s="40"/>
      <c r="T576" s="40"/>
    </row>
    <row r="577" spans="1:20" ht="15.75">
      <c r="A577" s="13">
        <v>58714</v>
      </c>
      <c r="B577" s="48">
        <v>30</v>
      </c>
      <c r="C577" s="39">
        <v>194.20500000000001</v>
      </c>
      <c r="D577" s="39">
        <v>267.46600000000001</v>
      </c>
      <c r="E577" s="45">
        <v>812.32899999999995</v>
      </c>
      <c r="F577" s="39">
        <v>1274</v>
      </c>
      <c r="G577" s="39">
        <v>50</v>
      </c>
      <c r="H577" s="47">
        <v>600</v>
      </c>
      <c r="I577" s="39">
        <v>695</v>
      </c>
      <c r="J577" s="39">
        <v>0</v>
      </c>
      <c r="K577" s="40"/>
      <c r="L577" s="40"/>
      <c r="M577" s="40"/>
      <c r="N577" s="40"/>
      <c r="O577" s="40"/>
      <c r="P577" s="40"/>
      <c r="Q577" s="40"/>
      <c r="R577" s="40"/>
      <c r="S577" s="40"/>
      <c r="T577" s="40"/>
    </row>
    <row r="578" spans="1:20" ht="15.75">
      <c r="A578" s="13">
        <v>58745</v>
      </c>
      <c r="B578" s="48">
        <v>31</v>
      </c>
      <c r="C578" s="39">
        <v>131.881</v>
      </c>
      <c r="D578" s="39">
        <v>277.16699999999997</v>
      </c>
      <c r="E578" s="45">
        <v>829.952</v>
      </c>
      <c r="F578" s="39">
        <v>1239</v>
      </c>
      <c r="G578" s="39">
        <v>75</v>
      </c>
      <c r="H578" s="47">
        <v>600</v>
      </c>
      <c r="I578" s="39">
        <v>695</v>
      </c>
      <c r="J578" s="39">
        <v>0</v>
      </c>
      <c r="K578" s="40"/>
      <c r="L578" s="40"/>
      <c r="M578" s="40"/>
      <c r="N578" s="40"/>
      <c r="O578" s="40"/>
      <c r="P578" s="40"/>
      <c r="Q578" s="40"/>
      <c r="R578" s="40"/>
      <c r="S578" s="40"/>
      <c r="T578" s="40"/>
    </row>
    <row r="579" spans="1:20" ht="15.75">
      <c r="A579" s="13">
        <v>58775</v>
      </c>
      <c r="B579" s="48">
        <v>30</v>
      </c>
      <c r="C579" s="39">
        <v>122.58</v>
      </c>
      <c r="D579" s="39">
        <v>297.94099999999997</v>
      </c>
      <c r="E579" s="45">
        <v>729.47900000000004</v>
      </c>
      <c r="F579" s="39">
        <v>1150</v>
      </c>
      <c r="G579" s="39">
        <v>100</v>
      </c>
      <c r="H579" s="47">
        <v>600</v>
      </c>
      <c r="I579" s="39">
        <v>695</v>
      </c>
      <c r="J579" s="39">
        <v>50</v>
      </c>
      <c r="K579" s="40"/>
      <c r="L579" s="40"/>
      <c r="M579" s="40"/>
      <c r="N579" s="40"/>
      <c r="O579" s="40"/>
      <c r="P579" s="40"/>
      <c r="Q579" s="40"/>
      <c r="R579" s="40"/>
      <c r="S579" s="40"/>
      <c r="T579" s="40"/>
    </row>
    <row r="580" spans="1:20" ht="15.75">
      <c r="A580" s="13">
        <v>58806</v>
      </c>
      <c r="B580" s="48">
        <v>31</v>
      </c>
      <c r="C580" s="39">
        <v>122.58</v>
      </c>
      <c r="D580" s="39">
        <v>297.94099999999997</v>
      </c>
      <c r="E580" s="45">
        <v>729.47900000000004</v>
      </c>
      <c r="F580" s="39">
        <v>1150</v>
      </c>
      <c r="G580" s="39">
        <v>100</v>
      </c>
      <c r="H580" s="47">
        <v>600</v>
      </c>
      <c r="I580" s="39">
        <v>695</v>
      </c>
      <c r="J580" s="39">
        <v>50</v>
      </c>
      <c r="K580" s="40"/>
      <c r="L580" s="40"/>
      <c r="M580" s="40"/>
      <c r="N580" s="40"/>
      <c r="O580" s="40"/>
      <c r="P580" s="40"/>
      <c r="Q580" s="40"/>
      <c r="R580" s="40"/>
      <c r="S580" s="40"/>
      <c r="T580" s="40"/>
    </row>
    <row r="581" spans="1:20" ht="15.75">
      <c r="A581" s="13">
        <v>58837</v>
      </c>
      <c r="B581" s="48">
        <v>31</v>
      </c>
      <c r="C581" s="39">
        <v>122.58</v>
      </c>
      <c r="D581" s="39">
        <v>297.94099999999997</v>
      </c>
      <c r="E581" s="45">
        <v>729.47900000000004</v>
      </c>
      <c r="F581" s="39">
        <v>1150</v>
      </c>
      <c r="G581" s="39">
        <v>100</v>
      </c>
      <c r="H581" s="47">
        <v>600</v>
      </c>
      <c r="I581" s="39">
        <v>695</v>
      </c>
      <c r="J581" s="39">
        <v>50</v>
      </c>
      <c r="K581" s="40"/>
      <c r="L581" s="40"/>
      <c r="M581" s="40"/>
      <c r="N581" s="40"/>
      <c r="O581" s="40"/>
      <c r="P581" s="40"/>
      <c r="Q581" s="40"/>
      <c r="R581" s="40"/>
      <c r="S581" s="40"/>
      <c r="T581" s="40"/>
    </row>
    <row r="582" spans="1:20" ht="15.75">
      <c r="A582" s="13">
        <v>58865</v>
      </c>
      <c r="B582" s="48">
        <v>28</v>
      </c>
      <c r="C582" s="39">
        <v>122.58</v>
      </c>
      <c r="D582" s="39">
        <v>297.94099999999997</v>
      </c>
      <c r="E582" s="45">
        <v>729.47900000000004</v>
      </c>
      <c r="F582" s="39">
        <v>1150</v>
      </c>
      <c r="G582" s="39">
        <v>100</v>
      </c>
      <c r="H582" s="47">
        <v>600</v>
      </c>
      <c r="I582" s="39">
        <v>695</v>
      </c>
      <c r="J582" s="39">
        <v>50</v>
      </c>
      <c r="K582" s="40"/>
      <c r="L582" s="40"/>
      <c r="M582" s="40"/>
      <c r="N582" s="40"/>
      <c r="O582" s="40"/>
      <c r="P582" s="40"/>
      <c r="Q582" s="40"/>
      <c r="R582" s="40"/>
      <c r="S582" s="40"/>
      <c r="T582" s="40"/>
    </row>
    <row r="583" spans="1:20" ht="15.75">
      <c r="A583" s="13">
        <v>58893</v>
      </c>
      <c r="B583" s="48">
        <v>31</v>
      </c>
      <c r="C583" s="39">
        <v>122.58</v>
      </c>
      <c r="D583" s="39">
        <v>297.94099999999997</v>
      </c>
      <c r="E583" s="45">
        <v>729.47900000000004</v>
      </c>
      <c r="F583" s="39">
        <v>1150</v>
      </c>
      <c r="G583" s="39">
        <v>100</v>
      </c>
      <c r="H583" s="47">
        <v>600</v>
      </c>
      <c r="I583" s="39">
        <v>695</v>
      </c>
      <c r="J583" s="39">
        <v>50</v>
      </c>
      <c r="K583" s="40"/>
      <c r="L583" s="40"/>
      <c r="M583" s="40"/>
      <c r="N583" s="40"/>
      <c r="O583" s="40"/>
      <c r="P583" s="40"/>
      <c r="Q583" s="40"/>
      <c r="R583" s="40"/>
      <c r="S583" s="40"/>
      <c r="T583" s="40"/>
    </row>
    <row r="584" spans="1:20" ht="15.75">
      <c r="A584" s="13">
        <v>58926</v>
      </c>
      <c r="B584" s="48">
        <v>30</v>
      </c>
      <c r="C584" s="39">
        <v>141.29300000000001</v>
      </c>
      <c r="D584" s="39">
        <v>267.99299999999999</v>
      </c>
      <c r="E584" s="45">
        <v>829.71400000000006</v>
      </c>
      <c r="F584" s="39">
        <v>1239</v>
      </c>
      <c r="G584" s="39">
        <v>100</v>
      </c>
      <c r="H584" s="47">
        <v>600</v>
      </c>
      <c r="I584" s="39">
        <v>695</v>
      </c>
      <c r="J584" s="39">
        <v>50</v>
      </c>
      <c r="K584" s="40"/>
      <c r="L584" s="40"/>
      <c r="M584" s="40"/>
      <c r="N584" s="40"/>
      <c r="O584" s="40"/>
      <c r="P584" s="40"/>
      <c r="Q584" s="40"/>
      <c r="R584" s="40"/>
      <c r="S584" s="40"/>
      <c r="T584" s="40"/>
    </row>
    <row r="585" spans="1:20" ht="15.75">
      <c r="A585" s="13">
        <v>58957</v>
      </c>
      <c r="B585" s="48">
        <v>31</v>
      </c>
      <c r="C585" s="39">
        <v>194.20500000000001</v>
      </c>
      <c r="D585" s="39">
        <v>267.46600000000001</v>
      </c>
      <c r="E585" s="45">
        <v>812.32899999999995</v>
      </c>
      <c r="F585" s="39">
        <v>1274</v>
      </c>
      <c r="G585" s="39">
        <v>75</v>
      </c>
      <c r="H585" s="47">
        <v>600</v>
      </c>
      <c r="I585" s="39">
        <v>695</v>
      </c>
      <c r="J585" s="39">
        <v>50</v>
      </c>
      <c r="K585" s="40"/>
      <c r="L585" s="40"/>
      <c r="M585" s="40"/>
      <c r="N585" s="40"/>
      <c r="O585" s="40"/>
      <c r="P585" s="40"/>
      <c r="Q585" s="40"/>
      <c r="R585" s="40"/>
      <c r="S585" s="40"/>
      <c r="T585" s="40"/>
    </row>
    <row r="586" spans="1:20" ht="15.75">
      <c r="A586" s="13">
        <v>58987</v>
      </c>
      <c r="B586" s="48">
        <v>30</v>
      </c>
      <c r="C586" s="39">
        <v>194.20500000000001</v>
      </c>
      <c r="D586" s="39">
        <v>267.46600000000001</v>
      </c>
      <c r="E586" s="45">
        <v>812.32899999999995</v>
      </c>
      <c r="F586" s="39">
        <v>1274</v>
      </c>
      <c r="G586" s="39">
        <v>50</v>
      </c>
      <c r="H586" s="47">
        <v>600</v>
      </c>
      <c r="I586" s="39">
        <v>695</v>
      </c>
      <c r="J586" s="39">
        <v>50</v>
      </c>
      <c r="K586" s="40"/>
      <c r="L586" s="40"/>
      <c r="M586" s="40"/>
      <c r="N586" s="40"/>
      <c r="O586" s="40"/>
      <c r="P586" s="40"/>
      <c r="Q586" s="40"/>
      <c r="R586" s="40"/>
      <c r="S586" s="40"/>
      <c r="T586" s="40"/>
    </row>
    <row r="587" spans="1:20" ht="15.75">
      <c r="A587" s="13">
        <v>59018</v>
      </c>
      <c r="B587" s="48">
        <v>31</v>
      </c>
      <c r="C587" s="39">
        <v>194.20500000000001</v>
      </c>
      <c r="D587" s="39">
        <v>267.46600000000001</v>
      </c>
      <c r="E587" s="45">
        <v>812.32899999999995</v>
      </c>
      <c r="F587" s="39">
        <v>1274</v>
      </c>
      <c r="G587" s="39">
        <v>50</v>
      </c>
      <c r="H587" s="47">
        <v>600</v>
      </c>
      <c r="I587" s="39">
        <v>695</v>
      </c>
      <c r="J587" s="39">
        <v>0</v>
      </c>
      <c r="K587" s="40"/>
      <c r="L587" s="40"/>
      <c r="M587" s="40"/>
      <c r="N587" s="40"/>
      <c r="O587" s="40"/>
      <c r="P587" s="40"/>
      <c r="Q587" s="40"/>
      <c r="R587" s="40"/>
      <c r="S587" s="40"/>
      <c r="T587" s="40"/>
    </row>
    <row r="588" spans="1:20" ht="15.75">
      <c r="A588" s="13">
        <v>59049</v>
      </c>
      <c r="B588" s="48">
        <v>31</v>
      </c>
      <c r="C588" s="39">
        <v>194.20500000000001</v>
      </c>
      <c r="D588" s="39">
        <v>267.46600000000001</v>
      </c>
      <c r="E588" s="45">
        <v>812.32899999999995</v>
      </c>
      <c r="F588" s="39">
        <v>1274</v>
      </c>
      <c r="G588" s="39">
        <v>50</v>
      </c>
      <c r="H588" s="47">
        <v>600</v>
      </c>
      <c r="I588" s="39">
        <v>695</v>
      </c>
      <c r="J588" s="39">
        <v>0</v>
      </c>
      <c r="K588" s="40"/>
      <c r="L588" s="40"/>
      <c r="M588" s="40"/>
      <c r="N588" s="40"/>
      <c r="O588" s="40"/>
      <c r="P588" s="40"/>
      <c r="Q588" s="40"/>
      <c r="R588" s="40"/>
      <c r="S588" s="40"/>
      <c r="T588" s="40"/>
    </row>
    <row r="589" spans="1:20" ht="15.75">
      <c r="A589" s="13">
        <v>59079</v>
      </c>
      <c r="B589" s="48">
        <v>30</v>
      </c>
      <c r="C589" s="39">
        <v>194.20500000000001</v>
      </c>
      <c r="D589" s="39">
        <v>267.46600000000001</v>
      </c>
      <c r="E589" s="45">
        <v>812.32899999999995</v>
      </c>
      <c r="F589" s="39">
        <v>1274</v>
      </c>
      <c r="G589" s="39">
        <v>50</v>
      </c>
      <c r="H589" s="47">
        <v>600</v>
      </c>
      <c r="I589" s="39">
        <v>695</v>
      </c>
      <c r="J589" s="39">
        <v>0</v>
      </c>
      <c r="K589" s="40"/>
      <c r="L589" s="40"/>
      <c r="M589" s="40"/>
      <c r="N589" s="40"/>
      <c r="O589" s="40"/>
      <c r="P589" s="40"/>
      <c r="Q589" s="40"/>
      <c r="R589" s="40"/>
      <c r="S589" s="40"/>
      <c r="T589" s="40"/>
    </row>
    <row r="590" spans="1:20" ht="15.75">
      <c r="A590" s="13">
        <v>59110</v>
      </c>
      <c r="B590" s="48">
        <v>31</v>
      </c>
      <c r="C590" s="39">
        <v>131.881</v>
      </c>
      <c r="D590" s="39">
        <v>277.16699999999997</v>
      </c>
      <c r="E590" s="45">
        <v>829.952</v>
      </c>
      <c r="F590" s="39">
        <v>1239</v>
      </c>
      <c r="G590" s="39">
        <v>75</v>
      </c>
      <c r="H590" s="47">
        <v>600</v>
      </c>
      <c r="I590" s="39">
        <v>695</v>
      </c>
      <c r="J590" s="39">
        <v>0</v>
      </c>
      <c r="K590" s="40"/>
      <c r="L590" s="40"/>
      <c r="M590" s="40"/>
      <c r="N590" s="40"/>
      <c r="O590" s="40"/>
      <c r="P590" s="40"/>
      <c r="Q590" s="40"/>
      <c r="R590" s="40"/>
      <c r="S590" s="40"/>
      <c r="T590" s="40"/>
    </row>
    <row r="591" spans="1:20" ht="15.75">
      <c r="A591" s="13">
        <v>59140</v>
      </c>
      <c r="B591" s="48">
        <v>30</v>
      </c>
      <c r="C591" s="39">
        <v>122.58</v>
      </c>
      <c r="D591" s="39">
        <v>297.94099999999997</v>
      </c>
      <c r="E591" s="45">
        <v>729.47900000000004</v>
      </c>
      <c r="F591" s="39">
        <v>1150</v>
      </c>
      <c r="G591" s="39">
        <v>100</v>
      </c>
      <c r="H591" s="47">
        <v>600</v>
      </c>
      <c r="I591" s="39">
        <v>695</v>
      </c>
      <c r="J591" s="39">
        <v>50</v>
      </c>
      <c r="K591" s="40"/>
      <c r="L591" s="40"/>
      <c r="M591" s="40"/>
      <c r="N591" s="40"/>
      <c r="O591" s="40"/>
      <c r="P591" s="40"/>
      <c r="Q591" s="40"/>
      <c r="R591" s="40"/>
      <c r="S591" s="40"/>
      <c r="T591" s="40"/>
    </row>
    <row r="592" spans="1:20" ht="15.75">
      <c r="A592" s="13">
        <v>59171</v>
      </c>
      <c r="B592" s="48">
        <v>31</v>
      </c>
      <c r="C592" s="39">
        <v>122.58</v>
      </c>
      <c r="D592" s="39">
        <v>297.94099999999997</v>
      </c>
      <c r="E592" s="45">
        <v>729.47900000000004</v>
      </c>
      <c r="F592" s="39">
        <v>1150</v>
      </c>
      <c r="G592" s="39">
        <v>100</v>
      </c>
      <c r="H592" s="47">
        <v>600</v>
      </c>
      <c r="I592" s="39">
        <v>695</v>
      </c>
      <c r="J592" s="39">
        <v>50</v>
      </c>
      <c r="K592" s="40"/>
      <c r="L592" s="40"/>
      <c r="M592" s="40"/>
      <c r="N592" s="40"/>
      <c r="O592" s="40"/>
      <c r="P592" s="40"/>
      <c r="Q592" s="40"/>
      <c r="R592" s="40"/>
      <c r="S592" s="40"/>
      <c r="T592" s="40"/>
    </row>
    <row r="593" spans="1:20" ht="15.75">
      <c r="A593" s="13">
        <v>59202</v>
      </c>
      <c r="B593" s="48">
        <f t="shared" ref="B593:B656" si="0">EOMONTH(A593,0)-EOMONTH(A593,-1)</f>
        <v>31</v>
      </c>
      <c r="C593" s="39">
        <v>122.58</v>
      </c>
      <c r="D593" s="39">
        <v>297.94099999999997</v>
      </c>
      <c r="E593" s="45">
        <v>729.47900000000004</v>
      </c>
      <c r="F593" s="39">
        <v>1150</v>
      </c>
      <c r="G593" s="39">
        <v>100</v>
      </c>
      <c r="H593" s="47">
        <v>600</v>
      </c>
      <c r="I593" s="39">
        <v>695</v>
      </c>
      <c r="J593" s="39">
        <v>50</v>
      </c>
      <c r="K593" s="40"/>
      <c r="L593" s="40"/>
      <c r="M593" s="40"/>
      <c r="N593" s="40"/>
      <c r="O593" s="40"/>
      <c r="P593" s="40"/>
      <c r="Q593" s="40"/>
      <c r="R593" s="40"/>
      <c r="S593" s="40"/>
      <c r="T593" s="40"/>
    </row>
    <row r="594" spans="1:20" ht="15.75">
      <c r="A594" s="13">
        <v>59230</v>
      </c>
      <c r="B594" s="48">
        <f t="shared" si="0"/>
        <v>28</v>
      </c>
      <c r="C594" s="39">
        <v>122.58</v>
      </c>
      <c r="D594" s="39">
        <v>297.94099999999997</v>
      </c>
      <c r="E594" s="45">
        <v>729.47900000000004</v>
      </c>
      <c r="F594" s="39">
        <v>1150</v>
      </c>
      <c r="G594" s="39">
        <v>100</v>
      </c>
      <c r="H594" s="47">
        <v>600</v>
      </c>
      <c r="I594" s="39">
        <v>695</v>
      </c>
      <c r="J594" s="39">
        <v>50</v>
      </c>
      <c r="K594" s="40"/>
      <c r="L594" s="40"/>
      <c r="M594" s="40"/>
      <c r="N594" s="40"/>
      <c r="O594" s="40"/>
      <c r="P594" s="40"/>
      <c r="Q594" s="40"/>
      <c r="R594" s="40"/>
      <c r="S594" s="40"/>
      <c r="T594" s="40"/>
    </row>
    <row r="595" spans="1:20" ht="15.75">
      <c r="A595" s="13">
        <v>59261</v>
      </c>
      <c r="B595" s="48">
        <f t="shared" si="0"/>
        <v>31</v>
      </c>
      <c r="C595" s="39">
        <v>122.58</v>
      </c>
      <c r="D595" s="39">
        <v>297.94099999999997</v>
      </c>
      <c r="E595" s="45">
        <v>729.47900000000004</v>
      </c>
      <c r="F595" s="39">
        <v>1150</v>
      </c>
      <c r="G595" s="39">
        <v>100</v>
      </c>
      <c r="H595" s="47">
        <v>600</v>
      </c>
      <c r="I595" s="39">
        <v>695</v>
      </c>
      <c r="J595" s="39">
        <v>50</v>
      </c>
      <c r="K595" s="40"/>
      <c r="L595" s="40"/>
      <c r="M595" s="40"/>
      <c r="N595" s="40"/>
      <c r="O595" s="40"/>
      <c r="P595" s="40"/>
      <c r="Q595" s="40"/>
      <c r="R595" s="40"/>
      <c r="S595" s="40"/>
      <c r="T595" s="40"/>
    </row>
    <row r="596" spans="1:20" ht="15.75">
      <c r="A596" s="13">
        <v>59291</v>
      </c>
      <c r="B596" s="48">
        <f t="shared" si="0"/>
        <v>30</v>
      </c>
      <c r="C596" s="39">
        <v>141.29300000000001</v>
      </c>
      <c r="D596" s="39">
        <v>267.99299999999999</v>
      </c>
      <c r="E596" s="45">
        <v>829.71400000000006</v>
      </c>
      <c r="F596" s="39">
        <v>1239</v>
      </c>
      <c r="G596" s="39">
        <v>100</v>
      </c>
      <c r="H596" s="47">
        <v>600</v>
      </c>
      <c r="I596" s="39">
        <v>695</v>
      </c>
      <c r="J596" s="39">
        <v>50</v>
      </c>
      <c r="K596" s="40"/>
      <c r="L596" s="40"/>
      <c r="M596" s="40"/>
      <c r="N596" s="40"/>
      <c r="O596" s="40"/>
      <c r="P596" s="40"/>
      <c r="Q596" s="40"/>
      <c r="R596" s="40"/>
      <c r="S596" s="40"/>
      <c r="T596" s="40"/>
    </row>
    <row r="597" spans="1:20" ht="15.75">
      <c r="A597" s="13">
        <v>59322</v>
      </c>
      <c r="B597" s="48">
        <f t="shared" si="0"/>
        <v>31</v>
      </c>
      <c r="C597" s="39">
        <v>194.20500000000001</v>
      </c>
      <c r="D597" s="39">
        <v>267.46600000000001</v>
      </c>
      <c r="E597" s="45">
        <v>812.32899999999995</v>
      </c>
      <c r="F597" s="39">
        <v>1274</v>
      </c>
      <c r="G597" s="39">
        <v>75</v>
      </c>
      <c r="H597" s="47">
        <v>600</v>
      </c>
      <c r="I597" s="39">
        <v>695</v>
      </c>
      <c r="J597" s="39">
        <v>50</v>
      </c>
      <c r="K597" s="40"/>
      <c r="L597" s="40"/>
      <c r="M597" s="40"/>
      <c r="N597" s="40"/>
      <c r="O597" s="40"/>
      <c r="P597" s="40"/>
      <c r="Q597" s="40"/>
      <c r="R597" s="40"/>
      <c r="S597" s="40"/>
      <c r="T597" s="40"/>
    </row>
    <row r="598" spans="1:20" ht="15.75">
      <c r="A598" s="13">
        <v>59352</v>
      </c>
      <c r="B598" s="48">
        <f t="shared" si="0"/>
        <v>30</v>
      </c>
      <c r="C598" s="39">
        <v>194.20500000000001</v>
      </c>
      <c r="D598" s="39">
        <v>267.46600000000001</v>
      </c>
      <c r="E598" s="45">
        <v>812.32899999999995</v>
      </c>
      <c r="F598" s="39">
        <v>1274</v>
      </c>
      <c r="G598" s="39">
        <v>50</v>
      </c>
      <c r="H598" s="47">
        <v>600</v>
      </c>
      <c r="I598" s="39">
        <v>695</v>
      </c>
      <c r="J598" s="39">
        <v>50</v>
      </c>
      <c r="K598" s="40"/>
      <c r="L598" s="40"/>
      <c r="M598" s="40"/>
      <c r="N598" s="40"/>
      <c r="O598" s="40"/>
      <c r="P598" s="40"/>
      <c r="Q598" s="40"/>
      <c r="R598" s="40"/>
      <c r="S598" s="40"/>
      <c r="T598" s="40"/>
    </row>
    <row r="599" spans="1:20" ht="15.75">
      <c r="A599" s="13">
        <v>59383</v>
      </c>
      <c r="B599" s="48">
        <f t="shared" si="0"/>
        <v>31</v>
      </c>
      <c r="C599" s="39">
        <v>194.20500000000001</v>
      </c>
      <c r="D599" s="39">
        <v>267.46600000000001</v>
      </c>
      <c r="E599" s="45">
        <v>812.32899999999995</v>
      </c>
      <c r="F599" s="39">
        <v>1274</v>
      </c>
      <c r="G599" s="39">
        <v>50</v>
      </c>
      <c r="H599" s="47">
        <v>600</v>
      </c>
      <c r="I599" s="39">
        <v>695</v>
      </c>
      <c r="J599" s="39">
        <v>0</v>
      </c>
      <c r="K599" s="40"/>
      <c r="L599" s="40"/>
      <c r="M599" s="40"/>
      <c r="N599" s="40"/>
      <c r="O599" s="40"/>
      <c r="P599" s="40"/>
      <c r="Q599" s="40"/>
      <c r="R599" s="40"/>
      <c r="S599" s="40"/>
      <c r="T599" s="40"/>
    </row>
    <row r="600" spans="1:20" ht="15.75">
      <c r="A600" s="13">
        <v>59414</v>
      </c>
      <c r="B600" s="48">
        <f t="shared" si="0"/>
        <v>31</v>
      </c>
      <c r="C600" s="39">
        <v>194.20500000000001</v>
      </c>
      <c r="D600" s="39">
        <v>267.46600000000001</v>
      </c>
      <c r="E600" s="45">
        <v>812.32899999999995</v>
      </c>
      <c r="F600" s="39">
        <v>1274</v>
      </c>
      <c r="G600" s="39">
        <v>50</v>
      </c>
      <c r="H600" s="47">
        <v>600</v>
      </c>
      <c r="I600" s="39">
        <v>695</v>
      </c>
      <c r="J600" s="39">
        <v>0</v>
      </c>
      <c r="K600" s="40"/>
      <c r="L600" s="40"/>
      <c r="M600" s="40"/>
      <c r="N600" s="40"/>
      <c r="O600" s="40"/>
      <c r="P600" s="40"/>
      <c r="Q600" s="40"/>
      <c r="R600" s="40"/>
      <c r="S600" s="40"/>
      <c r="T600" s="40"/>
    </row>
    <row r="601" spans="1:20" ht="15.75">
      <c r="A601" s="13">
        <v>59444</v>
      </c>
      <c r="B601" s="48">
        <f t="shared" si="0"/>
        <v>30</v>
      </c>
      <c r="C601" s="39">
        <v>194.20500000000001</v>
      </c>
      <c r="D601" s="39">
        <v>267.46600000000001</v>
      </c>
      <c r="E601" s="45">
        <v>812.32899999999995</v>
      </c>
      <c r="F601" s="39">
        <v>1274</v>
      </c>
      <c r="G601" s="39">
        <v>50</v>
      </c>
      <c r="H601" s="47">
        <v>600</v>
      </c>
      <c r="I601" s="39">
        <v>695</v>
      </c>
      <c r="J601" s="39">
        <v>0</v>
      </c>
      <c r="K601" s="40"/>
      <c r="L601" s="40"/>
      <c r="M601" s="40"/>
      <c r="N601" s="40"/>
      <c r="O601" s="40"/>
      <c r="P601" s="40"/>
      <c r="Q601" s="40"/>
      <c r="R601" s="40"/>
      <c r="S601" s="40"/>
      <c r="T601" s="40"/>
    </row>
    <row r="602" spans="1:20" ht="15.75">
      <c r="A602" s="13">
        <v>59475</v>
      </c>
      <c r="B602" s="48">
        <f t="shared" si="0"/>
        <v>31</v>
      </c>
      <c r="C602" s="39">
        <v>131.881</v>
      </c>
      <c r="D602" s="39">
        <v>277.16699999999997</v>
      </c>
      <c r="E602" s="45">
        <v>829.952</v>
      </c>
      <c r="F602" s="39">
        <v>1239</v>
      </c>
      <c r="G602" s="39">
        <v>75</v>
      </c>
      <c r="H602" s="47">
        <v>600</v>
      </c>
      <c r="I602" s="39">
        <v>695</v>
      </c>
      <c r="J602" s="39">
        <v>0</v>
      </c>
      <c r="K602" s="40"/>
      <c r="L602" s="40"/>
      <c r="M602" s="40"/>
      <c r="N602" s="40"/>
      <c r="O602" s="40"/>
      <c r="P602" s="40"/>
      <c r="Q602" s="40"/>
      <c r="R602" s="40"/>
      <c r="S602" s="40"/>
      <c r="T602" s="40"/>
    </row>
    <row r="603" spans="1:20" ht="15.75">
      <c r="A603" s="13">
        <v>59505</v>
      </c>
      <c r="B603" s="48">
        <f t="shared" si="0"/>
        <v>30</v>
      </c>
      <c r="C603" s="39">
        <v>122.58</v>
      </c>
      <c r="D603" s="39">
        <v>297.94099999999997</v>
      </c>
      <c r="E603" s="45">
        <v>729.47900000000004</v>
      </c>
      <c r="F603" s="39">
        <v>1150</v>
      </c>
      <c r="G603" s="39">
        <v>100</v>
      </c>
      <c r="H603" s="47">
        <v>600</v>
      </c>
      <c r="I603" s="39">
        <v>695</v>
      </c>
      <c r="J603" s="39">
        <v>50</v>
      </c>
      <c r="K603" s="40"/>
      <c r="L603" s="40"/>
      <c r="M603" s="40"/>
      <c r="N603" s="40"/>
      <c r="O603" s="40"/>
      <c r="P603" s="40"/>
      <c r="Q603" s="40"/>
      <c r="R603" s="40"/>
      <c r="S603" s="40"/>
      <c r="T603" s="40"/>
    </row>
    <row r="604" spans="1:20" ht="15.75">
      <c r="A604" s="13">
        <v>59536</v>
      </c>
      <c r="B604" s="48">
        <f t="shared" si="0"/>
        <v>31</v>
      </c>
      <c r="C604" s="39">
        <v>122.58</v>
      </c>
      <c r="D604" s="39">
        <v>297.94099999999997</v>
      </c>
      <c r="E604" s="45">
        <v>729.47900000000004</v>
      </c>
      <c r="F604" s="39">
        <v>1150</v>
      </c>
      <c r="G604" s="39">
        <v>100</v>
      </c>
      <c r="H604" s="47">
        <v>600</v>
      </c>
      <c r="I604" s="39">
        <v>695</v>
      </c>
      <c r="J604" s="39">
        <v>50</v>
      </c>
      <c r="K604" s="40"/>
      <c r="L604" s="40"/>
      <c r="M604" s="40"/>
      <c r="N604" s="40"/>
      <c r="O604" s="40"/>
      <c r="P604" s="40"/>
      <c r="Q604" s="40"/>
      <c r="R604" s="40"/>
      <c r="S604" s="40"/>
      <c r="T604" s="40"/>
    </row>
    <row r="605" spans="1:20" ht="15.75">
      <c r="A605" s="13">
        <v>59567</v>
      </c>
      <c r="B605" s="48">
        <f t="shared" si="0"/>
        <v>31</v>
      </c>
      <c r="C605" s="39">
        <v>122.58</v>
      </c>
      <c r="D605" s="39">
        <v>297.94099999999997</v>
      </c>
      <c r="E605" s="45">
        <v>729.47900000000004</v>
      </c>
      <c r="F605" s="39">
        <v>1150</v>
      </c>
      <c r="G605" s="39">
        <v>100</v>
      </c>
      <c r="H605" s="47">
        <v>600</v>
      </c>
      <c r="I605" s="39">
        <v>695</v>
      </c>
      <c r="J605" s="39">
        <v>50</v>
      </c>
      <c r="K605" s="40"/>
      <c r="L605" s="40"/>
      <c r="M605" s="40"/>
      <c r="N605" s="40"/>
      <c r="O605" s="40"/>
      <c r="P605" s="40"/>
      <c r="Q605" s="40"/>
      <c r="R605" s="40"/>
      <c r="S605" s="40"/>
      <c r="T605" s="40"/>
    </row>
    <row r="606" spans="1:20" ht="15.75">
      <c r="A606" s="13">
        <v>59595</v>
      </c>
      <c r="B606" s="48">
        <f t="shared" si="0"/>
        <v>28</v>
      </c>
      <c r="C606" s="39">
        <v>122.58</v>
      </c>
      <c r="D606" s="39">
        <v>297.94099999999997</v>
      </c>
      <c r="E606" s="45">
        <v>729.47900000000004</v>
      </c>
      <c r="F606" s="39">
        <v>1150</v>
      </c>
      <c r="G606" s="39">
        <v>100</v>
      </c>
      <c r="H606" s="47">
        <v>600</v>
      </c>
      <c r="I606" s="39">
        <v>695</v>
      </c>
      <c r="J606" s="39">
        <v>50</v>
      </c>
      <c r="K606" s="40"/>
      <c r="L606" s="40"/>
      <c r="M606" s="40"/>
      <c r="N606" s="40"/>
      <c r="O606" s="40"/>
      <c r="P606" s="40"/>
      <c r="Q606" s="40"/>
      <c r="R606" s="40"/>
      <c r="S606" s="40"/>
      <c r="T606" s="40"/>
    </row>
    <row r="607" spans="1:20" ht="15.75">
      <c r="A607" s="13">
        <v>59626</v>
      </c>
      <c r="B607" s="48">
        <f t="shared" si="0"/>
        <v>31</v>
      </c>
      <c r="C607" s="39">
        <v>122.58</v>
      </c>
      <c r="D607" s="39">
        <v>297.94099999999997</v>
      </c>
      <c r="E607" s="45">
        <v>729.47900000000004</v>
      </c>
      <c r="F607" s="39">
        <v>1150</v>
      </c>
      <c r="G607" s="39">
        <v>100</v>
      </c>
      <c r="H607" s="47">
        <v>600</v>
      </c>
      <c r="I607" s="39">
        <v>695</v>
      </c>
      <c r="J607" s="39">
        <v>50</v>
      </c>
      <c r="K607" s="40"/>
      <c r="L607" s="40"/>
      <c r="M607" s="40"/>
      <c r="N607" s="40"/>
      <c r="O607" s="40"/>
      <c r="P607" s="40"/>
      <c r="Q607" s="40"/>
      <c r="R607" s="40"/>
      <c r="S607" s="40"/>
      <c r="T607" s="40"/>
    </row>
    <row r="608" spans="1:20" ht="15.75">
      <c r="A608" s="13">
        <v>59656</v>
      </c>
      <c r="B608" s="48">
        <f t="shared" si="0"/>
        <v>30</v>
      </c>
      <c r="C608" s="39">
        <v>141.29300000000001</v>
      </c>
      <c r="D608" s="39">
        <v>267.99299999999999</v>
      </c>
      <c r="E608" s="45">
        <v>829.71400000000006</v>
      </c>
      <c r="F608" s="39">
        <v>1239</v>
      </c>
      <c r="G608" s="39">
        <v>100</v>
      </c>
      <c r="H608" s="47">
        <v>600</v>
      </c>
      <c r="I608" s="39">
        <v>695</v>
      </c>
      <c r="J608" s="39">
        <v>50</v>
      </c>
      <c r="K608" s="40"/>
      <c r="L608" s="40"/>
      <c r="M608" s="40"/>
      <c r="N608" s="40"/>
      <c r="O608" s="40"/>
      <c r="P608" s="40"/>
      <c r="Q608" s="40"/>
      <c r="R608" s="40"/>
      <c r="S608" s="40"/>
      <c r="T608" s="40"/>
    </row>
    <row r="609" spans="1:20" ht="15.75">
      <c r="A609" s="13">
        <v>59687</v>
      </c>
      <c r="B609" s="48">
        <f t="shared" si="0"/>
        <v>31</v>
      </c>
      <c r="C609" s="39">
        <v>194.20500000000001</v>
      </c>
      <c r="D609" s="39">
        <v>267.46600000000001</v>
      </c>
      <c r="E609" s="45">
        <v>812.32899999999995</v>
      </c>
      <c r="F609" s="39">
        <v>1274</v>
      </c>
      <c r="G609" s="39">
        <v>75</v>
      </c>
      <c r="H609" s="47">
        <v>600</v>
      </c>
      <c r="I609" s="39">
        <v>695</v>
      </c>
      <c r="J609" s="39">
        <v>50</v>
      </c>
      <c r="K609" s="40"/>
      <c r="L609" s="40"/>
      <c r="M609" s="40"/>
      <c r="N609" s="40"/>
      <c r="O609" s="40"/>
      <c r="P609" s="40"/>
      <c r="Q609" s="40"/>
      <c r="R609" s="40"/>
      <c r="S609" s="40"/>
      <c r="T609" s="40"/>
    </row>
    <row r="610" spans="1:20" ht="15.75">
      <c r="A610" s="13">
        <v>59717</v>
      </c>
      <c r="B610" s="48">
        <f t="shared" si="0"/>
        <v>30</v>
      </c>
      <c r="C610" s="39">
        <v>194.20500000000001</v>
      </c>
      <c r="D610" s="39">
        <v>267.46600000000001</v>
      </c>
      <c r="E610" s="45">
        <v>812.32899999999995</v>
      </c>
      <c r="F610" s="39">
        <v>1274</v>
      </c>
      <c r="G610" s="39">
        <v>50</v>
      </c>
      <c r="H610" s="47">
        <v>600</v>
      </c>
      <c r="I610" s="39">
        <v>695</v>
      </c>
      <c r="J610" s="39">
        <v>50</v>
      </c>
      <c r="K610" s="40"/>
      <c r="L610" s="40"/>
      <c r="M610" s="40"/>
      <c r="N610" s="40"/>
      <c r="O610" s="40"/>
      <c r="P610" s="40"/>
      <c r="Q610" s="40"/>
      <c r="R610" s="40"/>
      <c r="S610" s="40"/>
      <c r="T610" s="40"/>
    </row>
    <row r="611" spans="1:20" ht="15.75">
      <c r="A611" s="13">
        <v>59748</v>
      </c>
      <c r="B611" s="48">
        <f t="shared" si="0"/>
        <v>31</v>
      </c>
      <c r="C611" s="39">
        <v>194.20500000000001</v>
      </c>
      <c r="D611" s="39">
        <v>267.46600000000001</v>
      </c>
      <c r="E611" s="45">
        <v>812.32899999999995</v>
      </c>
      <c r="F611" s="39">
        <v>1274</v>
      </c>
      <c r="G611" s="39">
        <v>50</v>
      </c>
      <c r="H611" s="47">
        <v>600</v>
      </c>
      <c r="I611" s="39">
        <v>695</v>
      </c>
      <c r="J611" s="39">
        <v>0</v>
      </c>
      <c r="K611" s="40"/>
      <c r="L611" s="40"/>
      <c r="M611" s="40"/>
      <c r="N611" s="40"/>
      <c r="O611" s="40"/>
      <c r="P611" s="40"/>
      <c r="Q611" s="40"/>
      <c r="R611" s="40"/>
      <c r="S611" s="40"/>
      <c r="T611" s="40"/>
    </row>
    <row r="612" spans="1:20" ht="15.75">
      <c r="A612" s="13">
        <v>59779</v>
      </c>
      <c r="B612" s="48">
        <f t="shared" si="0"/>
        <v>31</v>
      </c>
      <c r="C612" s="39">
        <v>194.20500000000001</v>
      </c>
      <c r="D612" s="39">
        <v>267.46600000000001</v>
      </c>
      <c r="E612" s="45">
        <v>812.32899999999995</v>
      </c>
      <c r="F612" s="39">
        <v>1274</v>
      </c>
      <c r="G612" s="39">
        <v>50</v>
      </c>
      <c r="H612" s="47">
        <v>600</v>
      </c>
      <c r="I612" s="39">
        <v>695</v>
      </c>
      <c r="J612" s="39">
        <v>0</v>
      </c>
      <c r="K612" s="40"/>
      <c r="L612" s="40"/>
      <c r="M612" s="40"/>
      <c r="N612" s="40"/>
      <c r="O612" s="40"/>
      <c r="P612" s="40"/>
      <c r="Q612" s="40"/>
      <c r="R612" s="40"/>
      <c r="S612" s="40"/>
      <c r="T612" s="40"/>
    </row>
    <row r="613" spans="1:20" ht="15.75">
      <c r="A613" s="13">
        <v>59809</v>
      </c>
      <c r="B613" s="48">
        <f t="shared" si="0"/>
        <v>30</v>
      </c>
      <c r="C613" s="39">
        <v>194.20500000000001</v>
      </c>
      <c r="D613" s="39">
        <v>267.46600000000001</v>
      </c>
      <c r="E613" s="45">
        <v>812.32899999999995</v>
      </c>
      <c r="F613" s="39">
        <v>1274</v>
      </c>
      <c r="G613" s="39">
        <v>50</v>
      </c>
      <c r="H613" s="47">
        <v>600</v>
      </c>
      <c r="I613" s="39">
        <v>695</v>
      </c>
      <c r="J613" s="39">
        <v>0</v>
      </c>
      <c r="K613" s="40"/>
      <c r="L613" s="40"/>
      <c r="M613" s="40"/>
      <c r="N613" s="40"/>
      <c r="O613" s="40"/>
      <c r="P613" s="40"/>
      <c r="Q613" s="40"/>
      <c r="R613" s="40"/>
      <c r="S613" s="40"/>
      <c r="T613" s="40"/>
    </row>
    <row r="614" spans="1:20" ht="15.75">
      <c r="A614" s="13">
        <v>59840</v>
      </c>
      <c r="B614" s="48">
        <f t="shared" si="0"/>
        <v>31</v>
      </c>
      <c r="C614" s="39">
        <v>131.881</v>
      </c>
      <c r="D614" s="39">
        <v>277.16699999999997</v>
      </c>
      <c r="E614" s="45">
        <v>829.952</v>
      </c>
      <c r="F614" s="39">
        <v>1239</v>
      </c>
      <c r="G614" s="39">
        <v>75</v>
      </c>
      <c r="H614" s="47">
        <v>600</v>
      </c>
      <c r="I614" s="39">
        <v>695</v>
      </c>
      <c r="J614" s="39">
        <v>0</v>
      </c>
      <c r="K614" s="40"/>
      <c r="L614" s="40"/>
      <c r="M614" s="40"/>
      <c r="N614" s="40"/>
      <c r="O614" s="40"/>
      <c r="P614" s="40"/>
      <c r="Q614" s="40"/>
      <c r="R614" s="40"/>
      <c r="S614" s="40"/>
      <c r="T614" s="40"/>
    </row>
    <row r="615" spans="1:20" ht="15.75">
      <c r="A615" s="13">
        <v>59870</v>
      </c>
      <c r="B615" s="48">
        <f t="shared" si="0"/>
        <v>30</v>
      </c>
      <c r="C615" s="39">
        <v>122.58</v>
      </c>
      <c r="D615" s="39">
        <v>297.94099999999997</v>
      </c>
      <c r="E615" s="45">
        <v>729.47900000000004</v>
      </c>
      <c r="F615" s="39">
        <v>1150</v>
      </c>
      <c r="G615" s="39">
        <v>100</v>
      </c>
      <c r="H615" s="47">
        <v>600</v>
      </c>
      <c r="I615" s="39">
        <v>695</v>
      </c>
      <c r="J615" s="39">
        <v>50</v>
      </c>
      <c r="K615" s="40"/>
      <c r="L615" s="40"/>
      <c r="M615" s="40"/>
      <c r="N615" s="40"/>
      <c r="O615" s="40"/>
      <c r="P615" s="40"/>
      <c r="Q615" s="40"/>
      <c r="R615" s="40"/>
      <c r="S615" s="40"/>
      <c r="T615" s="40"/>
    </row>
    <row r="616" spans="1:20" ht="15.75">
      <c r="A616" s="13">
        <v>59901</v>
      </c>
      <c r="B616" s="48">
        <f t="shared" si="0"/>
        <v>31</v>
      </c>
      <c r="C616" s="39">
        <v>122.58</v>
      </c>
      <c r="D616" s="39">
        <v>297.94099999999997</v>
      </c>
      <c r="E616" s="45">
        <v>729.47900000000004</v>
      </c>
      <c r="F616" s="39">
        <v>1150</v>
      </c>
      <c r="G616" s="39">
        <v>100</v>
      </c>
      <c r="H616" s="47">
        <v>600</v>
      </c>
      <c r="I616" s="39">
        <v>695</v>
      </c>
      <c r="J616" s="39">
        <v>50</v>
      </c>
      <c r="K616" s="40"/>
      <c r="L616" s="40"/>
      <c r="M616" s="40"/>
      <c r="N616" s="40"/>
      <c r="O616" s="40"/>
      <c r="P616" s="40"/>
      <c r="Q616" s="40"/>
      <c r="R616" s="40"/>
      <c r="S616" s="40"/>
      <c r="T616" s="40"/>
    </row>
    <row r="617" spans="1:20" ht="15.75">
      <c r="A617" s="13">
        <v>59932</v>
      </c>
      <c r="B617" s="48">
        <f t="shared" si="0"/>
        <v>31</v>
      </c>
      <c r="C617" s="39">
        <v>122.58</v>
      </c>
      <c r="D617" s="39">
        <v>297.94099999999997</v>
      </c>
      <c r="E617" s="45">
        <v>729.47900000000004</v>
      </c>
      <c r="F617" s="39">
        <v>1150</v>
      </c>
      <c r="G617" s="39">
        <v>100</v>
      </c>
      <c r="H617" s="47">
        <v>600</v>
      </c>
      <c r="I617" s="39">
        <v>695</v>
      </c>
      <c r="J617" s="39">
        <v>50</v>
      </c>
      <c r="K617" s="40"/>
      <c r="L617" s="40"/>
      <c r="M617" s="40"/>
      <c r="N617" s="40"/>
      <c r="O617" s="40"/>
      <c r="P617" s="40"/>
      <c r="Q617" s="40"/>
      <c r="R617" s="40"/>
      <c r="S617" s="40"/>
      <c r="T617" s="40"/>
    </row>
    <row r="618" spans="1:20" ht="15.75">
      <c r="A618" s="13">
        <v>59961</v>
      </c>
      <c r="B618" s="48">
        <f t="shared" si="0"/>
        <v>29</v>
      </c>
      <c r="C618" s="39">
        <v>122.58</v>
      </c>
      <c r="D618" s="39">
        <v>297.94099999999997</v>
      </c>
      <c r="E618" s="45">
        <v>729.47900000000004</v>
      </c>
      <c r="F618" s="39">
        <v>1150</v>
      </c>
      <c r="G618" s="39">
        <v>100</v>
      </c>
      <c r="H618" s="47">
        <v>600</v>
      </c>
      <c r="I618" s="39">
        <v>695</v>
      </c>
      <c r="J618" s="39">
        <v>50</v>
      </c>
      <c r="K618" s="40"/>
      <c r="L618" s="40"/>
      <c r="M618" s="40"/>
      <c r="N618" s="40"/>
      <c r="O618" s="40"/>
      <c r="P618" s="40"/>
      <c r="Q618" s="40"/>
      <c r="R618" s="40"/>
      <c r="S618" s="40"/>
      <c r="T618" s="40"/>
    </row>
    <row r="619" spans="1:20" ht="15.75">
      <c r="A619" s="13">
        <v>59992</v>
      </c>
      <c r="B619" s="48">
        <f t="shared" si="0"/>
        <v>31</v>
      </c>
      <c r="C619" s="39">
        <v>122.58</v>
      </c>
      <c r="D619" s="39">
        <v>297.94099999999997</v>
      </c>
      <c r="E619" s="45">
        <v>729.47900000000004</v>
      </c>
      <c r="F619" s="39">
        <v>1150</v>
      </c>
      <c r="G619" s="39">
        <v>100</v>
      </c>
      <c r="H619" s="47">
        <v>600</v>
      </c>
      <c r="I619" s="39">
        <v>695</v>
      </c>
      <c r="J619" s="39">
        <v>50</v>
      </c>
      <c r="K619" s="40"/>
      <c r="L619" s="40"/>
      <c r="M619" s="40"/>
      <c r="N619" s="40"/>
      <c r="O619" s="40"/>
      <c r="P619" s="40"/>
      <c r="Q619" s="40"/>
      <c r="R619" s="40"/>
      <c r="S619" s="40"/>
      <c r="T619" s="40"/>
    </row>
    <row r="620" spans="1:20" ht="15.75">
      <c r="A620" s="13">
        <v>60022</v>
      </c>
      <c r="B620" s="48">
        <f t="shared" si="0"/>
        <v>30</v>
      </c>
      <c r="C620" s="39">
        <v>141.29300000000001</v>
      </c>
      <c r="D620" s="39">
        <v>267.99299999999999</v>
      </c>
      <c r="E620" s="45">
        <v>829.71400000000006</v>
      </c>
      <c r="F620" s="39">
        <v>1239</v>
      </c>
      <c r="G620" s="39">
        <v>100</v>
      </c>
      <c r="H620" s="47">
        <v>600</v>
      </c>
      <c r="I620" s="39">
        <v>695</v>
      </c>
      <c r="J620" s="39">
        <v>50</v>
      </c>
      <c r="K620" s="40"/>
      <c r="L620" s="40"/>
      <c r="M620" s="40"/>
      <c r="N620" s="40"/>
      <c r="O620" s="40"/>
      <c r="P620" s="40"/>
      <c r="Q620" s="40"/>
      <c r="R620" s="40"/>
      <c r="S620" s="40"/>
      <c r="T620" s="40"/>
    </row>
    <row r="621" spans="1:20" ht="15.75">
      <c r="A621" s="13">
        <v>60053</v>
      </c>
      <c r="B621" s="48">
        <f t="shared" si="0"/>
        <v>31</v>
      </c>
      <c r="C621" s="39">
        <v>194.20500000000001</v>
      </c>
      <c r="D621" s="39">
        <v>267.46600000000001</v>
      </c>
      <c r="E621" s="45">
        <v>812.32899999999995</v>
      </c>
      <c r="F621" s="39">
        <v>1274</v>
      </c>
      <c r="G621" s="39">
        <v>75</v>
      </c>
      <c r="H621" s="47">
        <v>600</v>
      </c>
      <c r="I621" s="39">
        <v>695</v>
      </c>
      <c r="J621" s="39">
        <v>50</v>
      </c>
      <c r="K621" s="40"/>
      <c r="L621" s="40"/>
      <c r="M621" s="40"/>
      <c r="N621" s="40"/>
      <c r="O621" s="40"/>
      <c r="P621" s="40"/>
      <c r="Q621" s="40"/>
      <c r="R621" s="40"/>
      <c r="S621" s="40"/>
      <c r="T621" s="40"/>
    </row>
    <row r="622" spans="1:20" ht="15.75">
      <c r="A622" s="13">
        <v>60083</v>
      </c>
      <c r="B622" s="48">
        <f t="shared" si="0"/>
        <v>30</v>
      </c>
      <c r="C622" s="39">
        <v>194.20500000000001</v>
      </c>
      <c r="D622" s="39">
        <v>267.46600000000001</v>
      </c>
      <c r="E622" s="45">
        <v>812.32899999999995</v>
      </c>
      <c r="F622" s="39">
        <v>1274</v>
      </c>
      <c r="G622" s="39">
        <v>50</v>
      </c>
      <c r="H622" s="47">
        <v>600</v>
      </c>
      <c r="I622" s="39">
        <v>695</v>
      </c>
      <c r="J622" s="39">
        <v>50</v>
      </c>
      <c r="K622" s="40"/>
      <c r="L622" s="40"/>
      <c r="M622" s="40"/>
      <c r="N622" s="40"/>
      <c r="O622" s="40"/>
      <c r="P622" s="40"/>
      <c r="Q622" s="40"/>
      <c r="R622" s="40"/>
      <c r="S622" s="40"/>
      <c r="T622" s="40"/>
    </row>
    <row r="623" spans="1:20" ht="15.75">
      <c r="A623" s="13">
        <v>60114</v>
      </c>
      <c r="B623" s="48">
        <f t="shared" si="0"/>
        <v>31</v>
      </c>
      <c r="C623" s="39">
        <v>194.20500000000001</v>
      </c>
      <c r="D623" s="39">
        <v>267.46600000000001</v>
      </c>
      <c r="E623" s="45">
        <v>812.32899999999995</v>
      </c>
      <c r="F623" s="39">
        <v>1274</v>
      </c>
      <c r="G623" s="39">
        <v>50</v>
      </c>
      <c r="H623" s="47">
        <v>600</v>
      </c>
      <c r="I623" s="39">
        <v>695</v>
      </c>
      <c r="J623" s="39">
        <v>0</v>
      </c>
      <c r="K623" s="40"/>
      <c r="L623" s="40"/>
      <c r="M623" s="40"/>
      <c r="N623" s="40"/>
      <c r="O623" s="40"/>
      <c r="P623" s="40"/>
      <c r="Q623" s="40"/>
      <c r="R623" s="40"/>
      <c r="S623" s="40"/>
      <c r="T623" s="40"/>
    </row>
    <row r="624" spans="1:20" ht="15.75">
      <c r="A624" s="13">
        <v>60145</v>
      </c>
      <c r="B624" s="48">
        <f t="shared" si="0"/>
        <v>31</v>
      </c>
      <c r="C624" s="39">
        <v>194.20500000000001</v>
      </c>
      <c r="D624" s="39">
        <v>267.46600000000001</v>
      </c>
      <c r="E624" s="45">
        <v>812.32899999999995</v>
      </c>
      <c r="F624" s="39">
        <v>1274</v>
      </c>
      <c r="G624" s="39">
        <v>50</v>
      </c>
      <c r="H624" s="47">
        <v>600</v>
      </c>
      <c r="I624" s="39">
        <v>695</v>
      </c>
      <c r="J624" s="39">
        <v>0</v>
      </c>
      <c r="K624" s="40"/>
      <c r="L624" s="40"/>
      <c r="M624" s="40"/>
      <c r="N624" s="40"/>
      <c r="O624" s="40"/>
      <c r="P624" s="40"/>
      <c r="Q624" s="40"/>
      <c r="R624" s="40"/>
      <c r="S624" s="40"/>
      <c r="T624" s="40"/>
    </row>
    <row r="625" spans="1:20" ht="15.75">
      <c r="A625" s="13">
        <v>60175</v>
      </c>
      <c r="B625" s="48">
        <f t="shared" si="0"/>
        <v>30</v>
      </c>
      <c r="C625" s="39">
        <v>194.20500000000001</v>
      </c>
      <c r="D625" s="39">
        <v>267.46600000000001</v>
      </c>
      <c r="E625" s="45">
        <v>812.32899999999995</v>
      </c>
      <c r="F625" s="39">
        <v>1274</v>
      </c>
      <c r="G625" s="39">
        <v>50</v>
      </c>
      <c r="H625" s="47">
        <v>600</v>
      </c>
      <c r="I625" s="39">
        <v>695</v>
      </c>
      <c r="J625" s="39">
        <v>0</v>
      </c>
      <c r="K625" s="40"/>
      <c r="L625" s="40"/>
      <c r="M625" s="40"/>
      <c r="N625" s="40"/>
      <c r="O625" s="40"/>
      <c r="P625" s="40"/>
      <c r="Q625" s="40"/>
      <c r="R625" s="40"/>
      <c r="S625" s="40"/>
      <c r="T625" s="40"/>
    </row>
    <row r="626" spans="1:20" ht="15.75">
      <c r="A626" s="13">
        <v>60206</v>
      </c>
      <c r="B626" s="48">
        <f t="shared" si="0"/>
        <v>31</v>
      </c>
      <c r="C626" s="39">
        <v>131.881</v>
      </c>
      <c r="D626" s="39">
        <v>277.16699999999997</v>
      </c>
      <c r="E626" s="45">
        <v>829.952</v>
      </c>
      <c r="F626" s="39">
        <v>1239</v>
      </c>
      <c r="G626" s="39">
        <v>75</v>
      </c>
      <c r="H626" s="47">
        <v>600</v>
      </c>
      <c r="I626" s="39">
        <v>695</v>
      </c>
      <c r="J626" s="39">
        <v>0</v>
      </c>
      <c r="K626" s="40"/>
      <c r="L626" s="40"/>
      <c r="M626" s="40"/>
      <c r="N626" s="40"/>
      <c r="O626" s="40"/>
      <c r="P626" s="40"/>
      <c r="Q626" s="40"/>
      <c r="R626" s="40"/>
      <c r="S626" s="40"/>
      <c r="T626" s="40"/>
    </row>
    <row r="627" spans="1:20" ht="15.75">
      <c r="A627" s="13">
        <v>60236</v>
      </c>
      <c r="B627" s="48">
        <f t="shared" si="0"/>
        <v>30</v>
      </c>
      <c r="C627" s="39">
        <v>122.58</v>
      </c>
      <c r="D627" s="39">
        <v>297.94099999999997</v>
      </c>
      <c r="E627" s="45">
        <v>729.47900000000004</v>
      </c>
      <c r="F627" s="39">
        <v>1150</v>
      </c>
      <c r="G627" s="39">
        <v>100</v>
      </c>
      <c r="H627" s="47">
        <v>600</v>
      </c>
      <c r="I627" s="39">
        <v>695</v>
      </c>
      <c r="J627" s="39">
        <v>50</v>
      </c>
      <c r="K627" s="40"/>
      <c r="L627" s="40"/>
      <c r="M627" s="40"/>
      <c r="N627" s="40"/>
      <c r="O627" s="40"/>
      <c r="P627" s="40"/>
      <c r="Q627" s="40"/>
      <c r="R627" s="40"/>
      <c r="S627" s="40"/>
      <c r="T627" s="40"/>
    </row>
    <row r="628" spans="1:20" ht="15.75">
      <c r="A628" s="13">
        <v>60267</v>
      </c>
      <c r="B628" s="48">
        <f t="shared" si="0"/>
        <v>31</v>
      </c>
      <c r="C628" s="39">
        <v>122.58</v>
      </c>
      <c r="D628" s="39">
        <v>297.94099999999997</v>
      </c>
      <c r="E628" s="45">
        <v>729.47900000000004</v>
      </c>
      <c r="F628" s="39">
        <v>1150</v>
      </c>
      <c r="G628" s="39">
        <v>100</v>
      </c>
      <c r="H628" s="47">
        <v>600</v>
      </c>
      <c r="I628" s="39">
        <v>695</v>
      </c>
      <c r="J628" s="39">
        <v>50</v>
      </c>
      <c r="K628" s="40"/>
      <c r="L628" s="40"/>
      <c r="M628" s="40"/>
      <c r="N628" s="40"/>
      <c r="O628" s="40"/>
      <c r="P628" s="40"/>
      <c r="Q628" s="40"/>
      <c r="R628" s="40"/>
      <c r="S628" s="40"/>
      <c r="T628" s="40"/>
    </row>
    <row r="629" spans="1:20" ht="15.75">
      <c r="A629" s="13">
        <v>60298</v>
      </c>
      <c r="B629" s="48">
        <f t="shared" si="0"/>
        <v>31</v>
      </c>
      <c r="C629" s="39">
        <v>122.58</v>
      </c>
      <c r="D629" s="39">
        <v>297.94099999999997</v>
      </c>
      <c r="E629" s="45">
        <v>729.47900000000004</v>
      </c>
      <c r="F629" s="39">
        <v>1150</v>
      </c>
      <c r="G629" s="39">
        <v>100</v>
      </c>
      <c r="H629" s="47">
        <v>600</v>
      </c>
      <c r="I629" s="39">
        <v>695</v>
      </c>
      <c r="J629" s="39">
        <v>50</v>
      </c>
      <c r="K629" s="40"/>
      <c r="L629" s="40"/>
      <c r="M629" s="40"/>
      <c r="N629" s="40"/>
      <c r="O629" s="40"/>
      <c r="P629" s="40"/>
      <c r="Q629" s="40"/>
      <c r="R629" s="40"/>
      <c r="S629" s="40"/>
      <c r="T629" s="40"/>
    </row>
    <row r="630" spans="1:20" ht="15.75">
      <c r="A630" s="13">
        <v>60326</v>
      </c>
      <c r="B630" s="48">
        <f t="shared" si="0"/>
        <v>28</v>
      </c>
      <c r="C630" s="39">
        <v>122.58</v>
      </c>
      <c r="D630" s="39">
        <v>297.94099999999997</v>
      </c>
      <c r="E630" s="45">
        <v>729.47900000000004</v>
      </c>
      <c r="F630" s="39">
        <v>1150</v>
      </c>
      <c r="G630" s="39">
        <v>100</v>
      </c>
      <c r="H630" s="47">
        <v>600</v>
      </c>
      <c r="I630" s="39">
        <v>695</v>
      </c>
      <c r="J630" s="39">
        <v>50</v>
      </c>
      <c r="K630" s="40"/>
      <c r="L630" s="40"/>
      <c r="M630" s="40"/>
      <c r="N630" s="40"/>
      <c r="O630" s="40"/>
      <c r="P630" s="40"/>
      <c r="Q630" s="40"/>
      <c r="R630" s="40"/>
      <c r="S630" s="40"/>
      <c r="T630" s="40"/>
    </row>
    <row r="631" spans="1:20" ht="15.75">
      <c r="A631" s="13">
        <v>60357</v>
      </c>
      <c r="B631" s="48">
        <f t="shared" si="0"/>
        <v>31</v>
      </c>
      <c r="C631" s="39">
        <v>122.58</v>
      </c>
      <c r="D631" s="39">
        <v>297.94099999999997</v>
      </c>
      <c r="E631" s="45">
        <v>729.47900000000004</v>
      </c>
      <c r="F631" s="39">
        <v>1150</v>
      </c>
      <c r="G631" s="39">
        <v>100</v>
      </c>
      <c r="H631" s="47">
        <v>600</v>
      </c>
      <c r="I631" s="39">
        <v>695</v>
      </c>
      <c r="J631" s="39">
        <v>50</v>
      </c>
      <c r="K631" s="40"/>
      <c r="L631" s="40"/>
      <c r="M631" s="40"/>
      <c r="N631" s="40"/>
      <c r="O631" s="40"/>
      <c r="P631" s="40"/>
      <c r="Q631" s="40"/>
      <c r="R631" s="40"/>
      <c r="S631" s="40"/>
      <c r="T631" s="40"/>
    </row>
    <row r="632" spans="1:20" ht="15.75">
      <c r="A632" s="13">
        <v>60387</v>
      </c>
      <c r="B632" s="48">
        <f t="shared" si="0"/>
        <v>30</v>
      </c>
      <c r="C632" s="39">
        <v>141.29300000000001</v>
      </c>
      <c r="D632" s="39">
        <v>267.99299999999999</v>
      </c>
      <c r="E632" s="45">
        <v>829.71400000000006</v>
      </c>
      <c r="F632" s="39">
        <v>1239</v>
      </c>
      <c r="G632" s="39">
        <v>100</v>
      </c>
      <c r="H632" s="47">
        <v>600</v>
      </c>
      <c r="I632" s="39">
        <v>695</v>
      </c>
      <c r="J632" s="39">
        <v>50</v>
      </c>
      <c r="K632" s="40"/>
      <c r="L632" s="40"/>
      <c r="M632" s="40"/>
      <c r="N632" s="40"/>
      <c r="O632" s="40"/>
      <c r="P632" s="40"/>
      <c r="Q632" s="40"/>
      <c r="R632" s="40"/>
      <c r="S632" s="40"/>
      <c r="T632" s="40"/>
    </row>
    <row r="633" spans="1:20" ht="15.75">
      <c r="A633" s="13">
        <v>60418</v>
      </c>
      <c r="B633" s="48">
        <f t="shared" si="0"/>
        <v>31</v>
      </c>
      <c r="C633" s="39">
        <v>194.20500000000001</v>
      </c>
      <c r="D633" s="39">
        <v>267.46600000000001</v>
      </c>
      <c r="E633" s="45">
        <v>812.32899999999995</v>
      </c>
      <c r="F633" s="39">
        <v>1274</v>
      </c>
      <c r="G633" s="39">
        <v>75</v>
      </c>
      <c r="H633" s="47">
        <v>600</v>
      </c>
      <c r="I633" s="39">
        <v>695</v>
      </c>
      <c r="J633" s="39">
        <v>50</v>
      </c>
      <c r="K633" s="40"/>
      <c r="L633" s="40"/>
      <c r="M633" s="40"/>
      <c r="N633" s="40"/>
      <c r="O633" s="40"/>
      <c r="P633" s="40"/>
      <c r="Q633" s="40"/>
      <c r="R633" s="40"/>
      <c r="S633" s="40"/>
      <c r="T633" s="40"/>
    </row>
    <row r="634" spans="1:20" ht="15.75">
      <c r="A634" s="13">
        <v>60448</v>
      </c>
      <c r="B634" s="48">
        <f t="shared" si="0"/>
        <v>30</v>
      </c>
      <c r="C634" s="39">
        <v>194.20500000000001</v>
      </c>
      <c r="D634" s="39">
        <v>267.46600000000001</v>
      </c>
      <c r="E634" s="45">
        <v>812.32899999999995</v>
      </c>
      <c r="F634" s="39">
        <v>1274</v>
      </c>
      <c r="G634" s="39">
        <v>50</v>
      </c>
      <c r="H634" s="47">
        <v>600</v>
      </c>
      <c r="I634" s="39">
        <v>695</v>
      </c>
      <c r="J634" s="39">
        <v>50</v>
      </c>
      <c r="K634" s="40"/>
      <c r="L634" s="40"/>
      <c r="M634" s="40"/>
      <c r="N634" s="40"/>
      <c r="O634" s="40"/>
      <c r="P634" s="40"/>
      <c r="Q634" s="40"/>
      <c r="R634" s="40"/>
      <c r="S634" s="40"/>
      <c r="T634" s="40"/>
    </row>
    <row r="635" spans="1:20" ht="15.75">
      <c r="A635" s="13">
        <v>60479</v>
      </c>
      <c r="B635" s="48">
        <f t="shared" si="0"/>
        <v>31</v>
      </c>
      <c r="C635" s="39">
        <v>194.20500000000001</v>
      </c>
      <c r="D635" s="39">
        <v>267.46600000000001</v>
      </c>
      <c r="E635" s="45">
        <v>812.32899999999995</v>
      </c>
      <c r="F635" s="39">
        <v>1274</v>
      </c>
      <c r="G635" s="39">
        <v>50</v>
      </c>
      <c r="H635" s="47">
        <v>600</v>
      </c>
      <c r="I635" s="39">
        <v>695</v>
      </c>
      <c r="J635" s="39">
        <v>0</v>
      </c>
      <c r="K635" s="40"/>
      <c r="L635" s="40"/>
      <c r="M635" s="40"/>
      <c r="N635" s="40"/>
      <c r="O635" s="40"/>
      <c r="P635" s="40"/>
      <c r="Q635" s="40"/>
      <c r="R635" s="40"/>
      <c r="S635" s="40"/>
      <c r="T635" s="40"/>
    </row>
    <row r="636" spans="1:20" ht="15.75">
      <c r="A636" s="13">
        <v>60510</v>
      </c>
      <c r="B636" s="48">
        <f t="shared" si="0"/>
        <v>31</v>
      </c>
      <c r="C636" s="39">
        <v>194.20500000000001</v>
      </c>
      <c r="D636" s="39">
        <v>267.46600000000001</v>
      </c>
      <c r="E636" s="45">
        <v>812.32899999999995</v>
      </c>
      <c r="F636" s="39">
        <v>1274</v>
      </c>
      <c r="G636" s="39">
        <v>50</v>
      </c>
      <c r="H636" s="47">
        <v>600</v>
      </c>
      <c r="I636" s="39">
        <v>695</v>
      </c>
      <c r="J636" s="39">
        <v>0</v>
      </c>
      <c r="K636" s="40"/>
      <c r="L636" s="40"/>
      <c r="M636" s="40"/>
      <c r="N636" s="40"/>
      <c r="O636" s="40"/>
      <c r="P636" s="40"/>
      <c r="Q636" s="40"/>
      <c r="R636" s="40"/>
      <c r="S636" s="40"/>
      <c r="T636" s="40"/>
    </row>
    <row r="637" spans="1:20" ht="15.75">
      <c r="A637" s="13">
        <v>60540</v>
      </c>
      <c r="B637" s="48">
        <f t="shared" si="0"/>
        <v>30</v>
      </c>
      <c r="C637" s="39">
        <v>194.20500000000001</v>
      </c>
      <c r="D637" s="39">
        <v>267.46600000000001</v>
      </c>
      <c r="E637" s="45">
        <v>812.32899999999995</v>
      </c>
      <c r="F637" s="39">
        <v>1274</v>
      </c>
      <c r="G637" s="39">
        <v>50</v>
      </c>
      <c r="H637" s="47">
        <v>600</v>
      </c>
      <c r="I637" s="39">
        <v>695</v>
      </c>
      <c r="J637" s="39">
        <v>0</v>
      </c>
      <c r="K637" s="40"/>
      <c r="L637" s="40"/>
      <c r="M637" s="40"/>
      <c r="N637" s="40"/>
      <c r="O637" s="40"/>
      <c r="P637" s="40"/>
      <c r="Q637" s="40"/>
      <c r="R637" s="40"/>
      <c r="S637" s="40"/>
      <c r="T637" s="40"/>
    </row>
    <row r="638" spans="1:20" ht="15.75">
      <c r="A638" s="13">
        <v>60571</v>
      </c>
      <c r="B638" s="48">
        <f t="shared" si="0"/>
        <v>31</v>
      </c>
      <c r="C638" s="39">
        <v>131.881</v>
      </c>
      <c r="D638" s="39">
        <v>277.16699999999997</v>
      </c>
      <c r="E638" s="45">
        <v>829.952</v>
      </c>
      <c r="F638" s="39">
        <v>1239</v>
      </c>
      <c r="G638" s="39">
        <v>75</v>
      </c>
      <c r="H638" s="47">
        <v>600</v>
      </c>
      <c r="I638" s="39">
        <v>695</v>
      </c>
      <c r="J638" s="39">
        <v>0</v>
      </c>
      <c r="K638" s="40"/>
      <c r="L638" s="40"/>
      <c r="M638" s="40"/>
      <c r="N638" s="40"/>
      <c r="O638" s="40"/>
      <c r="P638" s="40"/>
      <c r="Q638" s="40"/>
      <c r="R638" s="40"/>
      <c r="S638" s="40"/>
      <c r="T638" s="40"/>
    </row>
    <row r="639" spans="1:20" ht="15.75">
      <c r="A639" s="13">
        <v>60601</v>
      </c>
      <c r="B639" s="48">
        <f t="shared" si="0"/>
        <v>30</v>
      </c>
      <c r="C639" s="39">
        <v>122.58</v>
      </c>
      <c r="D639" s="39">
        <v>297.94099999999997</v>
      </c>
      <c r="E639" s="45">
        <v>729.47900000000004</v>
      </c>
      <c r="F639" s="39">
        <v>1150</v>
      </c>
      <c r="G639" s="39">
        <v>100</v>
      </c>
      <c r="H639" s="47">
        <v>600</v>
      </c>
      <c r="I639" s="39">
        <v>695</v>
      </c>
      <c r="J639" s="39">
        <v>50</v>
      </c>
      <c r="K639" s="40"/>
      <c r="L639" s="40"/>
      <c r="M639" s="40"/>
      <c r="N639" s="40"/>
      <c r="O639" s="40"/>
      <c r="P639" s="40"/>
      <c r="Q639" s="40"/>
      <c r="R639" s="40"/>
      <c r="S639" s="40"/>
      <c r="T639" s="40"/>
    </row>
    <row r="640" spans="1:20" ht="15.75">
      <c r="A640" s="13">
        <v>60632</v>
      </c>
      <c r="B640" s="48">
        <f t="shared" si="0"/>
        <v>31</v>
      </c>
      <c r="C640" s="39">
        <v>122.58</v>
      </c>
      <c r="D640" s="39">
        <v>297.94099999999997</v>
      </c>
      <c r="E640" s="45">
        <v>729.47900000000004</v>
      </c>
      <c r="F640" s="39">
        <v>1150</v>
      </c>
      <c r="G640" s="39">
        <v>100</v>
      </c>
      <c r="H640" s="47">
        <v>600</v>
      </c>
      <c r="I640" s="39">
        <v>695</v>
      </c>
      <c r="J640" s="39">
        <v>50</v>
      </c>
      <c r="K640" s="40"/>
      <c r="L640" s="40"/>
      <c r="M640" s="40"/>
      <c r="N640" s="40"/>
      <c r="O640" s="40"/>
      <c r="P640" s="40"/>
      <c r="Q640" s="40"/>
      <c r="R640" s="40"/>
      <c r="S640" s="40"/>
      <c r="T640" s="40"/>
    </row>
    <row r="641" spans="1:20" ht="15.75">
      <c r="A641" s="13">
        <v>60663</v>
      </c>
      <c r="B641" s="48">
        <f t="shared" si="0"/>
        <v>31</v>
      </c>
      <c r="C641" s="39">
        <v>122.58</v>
      </c>
      <c r="D641" s="39">
        <v>297.94099999999997</v>
      </c>
      <c r="E641" s="45">
        <v>729.47900000000004</v>
      </c>
      <c r="F641" s="39">
        <v>1150</v>
      </c>
      <c r="G641" s="39">
        <v>100</v>
      </c>
      <c r="H641" s="47">
        <v>600</v>
      </c>
      <c r="I641" s="39">
        <v>695</v>
      </c>
      <c r="J641" s="39">
        <v>50</v>
      </c>
      <c r="K641" s="40"/>
      <c r="L641" s="40"/>
      <c r="M641" s="40"/>
      <c r="N641" s="40"/>
      <c r="O641" s="40"/>
      <c r="P641" s="40"/>
      <c r="Q641" s="40"/>
      <c r="R641" s="40"/>
      <c r="S641" s="40"/>
      <c r="T641" s="40"/>
    </row>
    <row r="642" spans="1:20" ht="15.75">
      <c r="A642" s="13">
        <v>60691</v>
      </c>
      <c r="B642" s="48">
        <f t="shared" si="0"/>
        <v>28</v>
      </c>
      <c r="C642" s="39">
        <v>122.58</v>
      </c>
      <c r="D642" s="39">
        <v>297.94099999999997</v>
      </c>
      <c r="E642" s="45">
        <v>729.47900000000004</v>
      </c>
      <c r="F642" s="39">
        <v>1150</v>
      </c>
      <c r="G642" s="39">
        <v>100</v>
      </c>
      <c r="H642" s="47">
        <v>600</v>
      </c>
      <c r="I642" s="39">
        <v>695</v>
      </c>
      <c r="J642" s="39">
        <v>50</v>
      </c>
      <c r="K642" s="40"/>
      <c r="L642" s="40"/>
      <c r="M642" s="40"/>
      <c r="N642" s="40"/>
      <c r="O642" s="40"/>
      <c r="P642" s="40"/>
      <c r="Q642" s="40"/>
      <c r="R642" s="40"/>
      <c r="S642" s="40"/>
      <c r="T642" s="40"/>
    </row>
    <row r="643" spans="1:20" ht="15.75">
      <c r="A643" s="13">
        <v>60722</v>
      </c>
      <c r="B643" s="48">
        <f t="shared" si="0"/>
        <v>31</v>
      </c>
      <c r="C643" s="39">
        <v>122.58</v>
      </c>
      <c r="D643" s="39">
        <v>297.94099999999997</v>
      </c>
      <c r="E643" s="45">
        <v>729.47900000000004</v>
      </c>
      <c r="F643" s="39">
        <v>1150</v>
      </c>
      <c r="G643" s="39">
        <v>100</v>
      </c>
      <c r="H643" s="47">
        <v>600</v>
      </c>
      <c r="I643" s="39">
        <v>695</v>
      </c>
      <c r="J643" s="39">
        <v>50</v>
      </c>
      <c r="K643" s="40"/>
      <c r="L643" s="40"/>
      <c r="M643" s="40"/>
      <c r="N643" s="40"/>
      <c r="O643" s="40"/>
      <c r="P643" s="40"/>
      <c r="Q643" s="40"/>
      <c r="R643" s="40"/>
      <c r="S643" s="40"/>
      <c r="T643" s="40"/>
    </row>
    <row r="644" spans="1:20" ht="15.75">
      <c r="A644" s="13">
        <v>60752</v>
      </c>
      <c r="B644" s="48">
        <f t="shared" si="0"/>
        <v>30</v>
      </c>
      <c r="C644" s="39">
        <v>141.29300000000001</v>
      </c>
      <c r="D644" s="39">
        <v>267.99299999999999</v>
      </c>
      <c r="E644" s="45">
        <v>829.71400000000006</v>
      </c>
      <c r="F644" s="39">
        <v>1239</v>
      </c>
      <c r="G644" s="39">
        <v>100</v>
      </c>
      <c r="H644" s="47">
        <v>600</v>
      </c>
      <c r="I644" s="39">
        <v>695</v>
      </c>
      <c r="J644" s="39">
        <v>50</v>
      </c>
      <c r="K644" s="40"/>
      <c r="L644" s="40"/>
      <c r="M644" s="40"/>
      <c r="N644" s="40"/>
      <c r="O644" s="40"/>
      <c r="P644" s="40"/>
      <c r="Q644" s="40"/>
      <c r="R644" s="40"/>
      <c r="S644" s="40"/>
      <c r="T644" s="40"/>
    </row>
    <row r="645" spans="1:20" ht="15.75">
      <c r="A645" s="13">
        <v>60783</v>
      </c>
      <c r="B645" s="48">
        <f t="shared" si="0"/>
        <v>31</v>
      </c>
      <c r="C645" s="39">
        <v>194.20500000000001</v>
      </c>
      <c r="D645" s="39">
        <v>267.46600000000001</v>
      </c>
      <c r="E645" s="45">
        <v>812.32899999999995</v>
      </c>
      <c r="F645" s="39">
        <v>1274</v>
      </c>
      <c r="G645" s="39">
        <v>75</v>
      </c>
      <c r="H645" s="47">
        <v>600</v>
      </c>
      <c r="I645" s="39">
        <v>695</v>
      </c>
      <c r="J645" s="39">
        <v>50</v>
      </c>
      <c r="K645" s="40"/>
      <c r="L645" s="40"/>
      <c r="M645" s="40"/>
      <c r="N645" s="40"/>
      <c r="O645" s="40"/>
      <c r="P645" s="40"/>
      <c r="Q645" s="40"/>
      <c r="R645" s="40"/>
      <c r="S645" s="40"/>
      <c r="T645" s="40"/>
    </row>
    <row r="646" spans="1:20" ht="15.75">
      <c r="A646" s="13">
        <v>60813</v>
      </c>
      <c r="B646" s="48">
        <f t="shared" si="0"/>
        <v>30</v>
      </c>
      <c r="C646" s="39">
        <v>194.20500000000001</v>
      </c>
      <c r="D646" s="39">
        <v>267.46600000000001</v>
      </c>
      <c r="E646" s="45">
        <v>812.32899999999995</v>
      </c>
      <c r="F646" s="39">
        <v>1274</v>
      </c>
      <c r="G646" s="39">
        <v>50</v>
      </c>
      <c r="H646" s="47">
        <v>600</v>
      </c>
      <c r="I646" s="39">
        <v>695</v>
      </c>
      <c r="J646" s="39">
        <v>50</v>
      </c>
      <c r="K646" s="40"/>
      <c r="L646" s="40"/>
      <c r="M646" s="40"/>
      <c r="N646" s="40"/>
      <c r="O646" s="40"/>
      <c r="P646" s="40"/>
      <c r="Q646" s="40"/>
      <c r="R646" s="40"/>
      <c r="S646" s="40"/>
      <c r="T646" s="40"/>
    </row>
    <row r="647" spans="1:20" ht="15.75">
      <c r="A647" s="13">
        <v>60844</v>
      </c>
      <c r="B647" s="48">
        <f t="shared" si="0"/>
        <v>31</v>
      </c>
      <c r="C647" s="39">
        <v>194.20500000000001</v>
      </c>
      <c r="D647" s="39">
        <v>267.46600000000001</v>
      </c>
      <c r="E647" s="45">
        <v>812.32899999999995</v>
      </c>
      <c r="F647" s="39">
        <v>1274</v>
      </c>
      <c r="G647" s="39">
        <v>50</v>
      </c>
      <c r="H647" s="47">
        <v>600</v>
      </c>
      <c r="I647" s="39">
        <v>695</v>
      </c>
      <c r="J647" s="39">
        <v>0</v>
      </c>
      <c r="K647" s="40"/>
      <c r="L647" s="40"/>
      <c r="M647" s="40"/>
      <c r="N647" s="40"/>
      <c r="O647" s="40"/>
      <c r="P647" s="40"/>
      <c r="Q647" s="40"/>
      <c r="R647" s="40"/>
      <c r="S647" s="40"/>
      <c r="T647" s="40"/>
    </row>
    <row r="648" spans="1:20" ht="15.75">
      <c r="A648" s="13">
        <v>60875</v>
      </c>
      <c r="B648" s="48">
        <f t="shared" si="0"/>
        <v>31</v>
      </c>
      <c r="C648" s="39">
        <v>194.20500000000001</v>
      </c>
      <c r="D648" s="39">
        <v>267.46600000000001</v>
      </c>
      <c r="E648" s="45">
        <v>812.32899999999995</v>
      </c>
      <c r="F648" s="39">
        <v>1274</v>
      </c>
      <c r="G648" s="39">
        <v>50</v>
      </c>
      <c r="H648" s="47">
        <v>600</v>
      </c>
      <c r="I648" s="39">
        <v>695</v>
      </c>
      <c r="J648" s="39">
        <v>0</v>
      </c>
      <c r="K648" s="40"/>
      <c r="L648" s="40"/>
      <c r="M648" s="40"/>
      <c r="N648" s="40"/>
      <c r="O648" s="40"/>
      <c r="P648" s="40"/>
      <c r="Q648" s="40"/>
      <c r="R648" s="40"/>
      <c r="S648" s="40"/>
      <c r="T648" s="40"/>
    </row>
    <row r="649" spans="1:20" ht="15.75">
      <c r="A649" s="13">
        <v>60905</v>
      </c>
      <c r="B649" s="48">
        <f t="shared" si="0"/>
        <v>30</v>
      </c>
      <c r="C649" s="39">
        <v>194.20500000000001</v>
      </c>
      <c r="D649" s="39">
        <v>267.46600000000001</v>
      </c>
      <c r="E649" s="45">
        <v>812.32899999999995</v>
      </c>
      <c r="F649" s="39">
        <v>1274</v>
      </c>
      <c r="G649" s="39">
        <v>50</v>
      </c>
      <c r="H649" s="47">
        <v>600</v>
      </c>
      <c r="I649" s="39">
        <v>695</v>
      </c>
      <c r="J649" s="39">
        <v>0</v>
      </c>
      <c r="K649" s="40"/>
      <c r="L649" s="40"/>
      <c r="M649" s="40"/>
      <c r="N649" s="40"/>
      <c r="O649" s="40"/>
      <c r="P649" s="40"/>
      <c r="Q649" s="40"/>
      <c r="R649" s="40"/>
      <c r="S649" s="40"/>
      <c r="T649" s="40"/>
    </row>
    <row r="650" spans="1:20" ht="15.75">
      <c r="A650" s="13">
        <v>60936</v>
      </c>
      <c r="B650" s="48">
        <f t="shared" si="0"/>
        <v>31</v>
      </c>
      <c r="C650" s="39">
        <v>131.881</v>
      </c>
      <c r="D650" s="39">
        <v>277.16699999999997</v>
      </c>
      <c r="E650" s="45">
        <v>829.952</v>
      </c>
      <c r="F650" s="39">
        <v>1239</v>
      </c>
      <c r="G650" s="39">
        <v>75</v>
      </c>
      <c r="H650" s="47">
        <v>600</v>
      </c>
      <c r="I650" s="39">
        <v>695</v>
      </c>
      <c r="J650" s="39">
        <v>0</v>
      </c>
      <c r="K650" s="40"/>
      <c r="L650" s="40"/>
      <c r="M650" s="40"/>
      <c r="N650" s="40"/>
      <c r="O650" s="40"/>
      <c r="P650" s="40"/>
      <c r="Q650" s="40"/>
      <c r="R650" s="40"/>
      <c r="S650" s="40"/>
      <c r="T650" s="40"/>
    </row>
    <row r="651" spans="1:20" ht="15.75">
      <c r="A651" s="13">
        <v>60966</v>
      </c>
      <c r="B651" s="48">
        <f t="shared" si="0"/>
        <v>30</v>
      </c>
      <c r="C651" s="39">
        <v>122.58</v>
      </c>
      <c r="D651" s="39">
        <v>297.94099999999997</v>
      </c>
      <c r="E651" s="45">
        <v>729.47900000000004</v>
      </c>
      <c r="F651" s="39">
        <v>1150</v>
      </c>
      <c r="G651" s="39">
        <v>100</v>
      </c>
      <c r="H651" s="47">
        <v>600</v>
      </c>
      <c r="I651" s="39">
        <v>695</v>
      </c>
      <c r="J651" s="39">
        <v>50</v>
      </c>
      <c r="K651" s="40"/>
      <c r="L651" s="40"/>
      <c r="M651" s="40"/>
      <c r="N651" s="40"/>
      <c r="O651" s="40"/>
      <c r="P651" s="40"/>
      <c r="Q651" s="40"/>
      <c r="R651" s="40"/>
      <c r="S651" s="40"/>
      <c r="T651" s="40"/>
    </row>
    <row r="652" spans="1:20" ht="15.75">
      <c r="A652" s="13">
        <v>60997</v>
      </c>
      <c r="B652" s="48">
        <f t="shared" si="0"/>
        <v>31</v>
      </c>
      <c r="C652" s="39">
        <v>122.58</v>
      </c>
      <c r="D652" s="39">
        <v>297.94099999999997</v>
      </c>
      <c r="E652" s="45">
        <v>729.47900000000004</v>
      </c>
      <c r="F652" s="39">
        <v>1150</v>
      </c>
      <c r="G652" s="39">
        <v>100</v>
      </c>
      <c r="H652" s="47">
        <v>600</v>
      </c>
      <c r="I652" s="39">
        <v>695</v>
      </c>
      <c r="J652" s="39">
        <v>50</v>
      </c>
      <c r="K652" s="40"/>
      <c r="L652" s="40"/>
      <c r="M652" s="40"/>
      <c r="N652" s="40"/>
      <c r="O652" s="40"/>
      <c r="P652" s="40"/>
      <c r="Q652" s="40"/>
      <c r="R652" s="40"/>
      <c r="S652" s="40"/>
      <c r="T652" s="40"/>
    </row>
    <row r="653" spans="1:20" ht="15.75">
      <c r="A653" s="13">
        <v>61028</v>
      </c>
      <c r="B653" s="48">
        <f t="shared" si="0"/>
        <v>31</v>
      </c>
      <c r="C653" s="39">
        <v>122.58</v>
      </c>
      <c r="D653" s="39">
        <v>297.94099999999997</v>
      </c>
      <c r="E653" s="45">
        <v>729.47900000000004</v>
      </c>
      <c r="F653" s="39">
        <v>1150</v>
      </c>
      <c r="G653" s="39">
        <v>100</v>
      </c>
      <c r="H653" s="47">
        <v>600</v>
      </c>
      <c r="I653" s="39">
        <v>695</v>
      </c>
      <c r="J653" s="39">
        <v>50</v>
      </c>
      <c r="K653" s="40"/>
      <c r="L653" s="40"/>
      <c r="M653" s="40"/>
      <c r="N653" s="40"/>
      <c r="O653" s="40"/>
      <c r="P653" s="40"/>
      <c r="Q653" s="40"/>
      <c r="R653" s="40"/>
      <c r="S653" s="40"/>
      <c r="T653" s="40"/>
    </row>
    <row r="654" spans="1:20" ht="15.75">
      <c r="A654" s="13">
        <v>61056</v>
      </c>
      <c r="B654" s="48">
        <f t="shared" si="0"/>
        <v>28</v>
      </c>
      <c r="C654" s="39">
        <v>122.58</v>
      </c>
      <c r="D654" s="39">
        <v>297.94099999999997</v>
      </c>
      <c r="E654" s="45">
        <v>729.47900000000004</v>
      </c>
      <c r="F654" s="39">
        <v>1150</v>
      </c>
      <c r="G654" s="39">
        <v>100</v>
      </c>
      <c r="H654" s="47">
        <v>600</v>
      </c>
      <c r="I654" s="39">
        <v>695</v>
      </c>
      <c r="J654" s="39">
        <v>50</v>
      </c>
      <c r="K654" s="40"/>
      <c r="L654" s="40"/>
      <c r="M654" s="40"/>
      <c r="N654" s="40"/>
      <c r="O654" s="40"/>
      <c r="P654" s="40"/>
      <c r="Q654" s="40"/>
      <c r="R654" s="40"/>
      <c r="S654" s="40"/>
      <c r="T654" s="40"/>
    </row>
    <row r="655" spans="1:20" ht="15.75">
      <c r="A655" s="13">
        <v>61087</v>
      </c>
      <c r="B655" s="48">
        <f t="shared" si="0"/>
        <v>31</v>
      </c>
      <c r="C655" s="39">
        <v>122.58</v>
      </c>
      <c r="D655" s="39">
        <v>297.94099999999997</v>
      </c>
      <c r="E655" s="45">
        <v>729.47900000000004</v>
      </c>
      <c r="F655" s="39">
        <v>1150</v>
      </c>
      <c r="G655" s="39">
        <v>100</v>
      </c>
      <c r="H655" s="47">
        <v>600</v>
      </c>
      <c r="I655" s="39">
        <v>695</v>
      </c>
      <c r="J655" s="39">
        <v>50</v>
      </c>
      <c r="K655" s="40"/>
      <c r="L655" s="40"/>
      <c r="M655" s="40"/>
      <c r="N655" s="40"/>
      <c r="O655" s="40"/>
      <c r="P655" s="40"/>
      <c r="Q655" s="40"/>
      <c r="R655" s="40"/>
      <c r="S655" s="40"/>
      <c r="T655" s="40"/>
    </row>
    <row r="656" spans="1:20" ht="15.75">
      <c r="A656" s="13">
        <v>61117</v>
      </c>
      <c r="B656" s="48">
        <f t="shared" si="0"/>
        <v>30</v>
      </c>
      <c r="C656" s="39">
        <v>141.29300000000001</v>
      </c>
      <c r="D656" s="39">
        <v>267.99299999999999</v>
      </c>
      <c r="E656" s="45">
        <v>829.71400000000006</v>
      </c>
      <c r="F656" s="39">
        <v>1239</v>
      </c>
      <c r="G656" s="39">
        <v>100</v>
      </c>
      <c r="H656" s="47">
        <v>600</v>
      </c>
      <c r="I656" s="39">
        <v>695</v>
      </c>
      <c r="J656" s="39">
        <v>50</v>
      </c>
      <c r="K656" s="40"/>
      <c r="L656" s="40"/>
      <c r="M656" s="40"/>
      <c r="N656" s="40"/>
      <c r="O656" s="40"/>
      <c r="P656" s="40"/>
      <c r="Q656" s="40"/>
      <c r="R656" s="40"/>
      <c r="S656" s="40"/>
      <c r="T656" s="40"/>
    </row>
    <row r="657" spans="1:20" ht="15.75">
      <c r="A657" s="13">
        <v>61148</v>
      </c>
      <c r="B657" s="48">
        <f t="shared" ref="B657:B720" si="1">EOMONTH(A657,0)-EOMONTH(A657,-1)</f>
        <v>31</v>
      </c>
      <c r="C657" s="39">
        <v>194.20500000000001</v>
      </c>
      <c r="D657" s="39">
        <v>267.46600000000001</v>
      </c>
      <c r="E657" s="45">
        <v>812.32899999999995</v>
      </c>
      <c r="F657" s="39">
        <v>1274</v>
      </c>
      <c r="G657" s="39">
        <v>75</v>
      </c>
      <c r="H657" s="47">
        <v>600</v>
      </c>
      <c r="I657" s="39">
        <v>695</v>
      </c>
      <c r="J657" s="39">
        <v>50</v>
      </c>
      <c r="K657" s="40"/>
      <c r="L657" s="40"/>
      <c r="M657" s="40"/>
      <c r="N657" s="40"/>
      <c r="O657" s="40"/>
      <c r="P657" s="40"/>
      <c r="Q657" s="40"/>
      <c r="R657" s="40"/>
      <c r="S657" s="40"/>
      <c r="T657" s="40"/>
    </row>
    <row r="658" spans="1:20" ht="15.75">
      <c r="A658" s="13">
        <v>61178</v>
      </c>
      <c r="B658" s="48">
        <f t="shared" si="1"/>
        <v>30</v>
      </c>
      <c r="C658" s="39">
        <v>194.20500000000001</v>
      </c>
      <c r="D658" s="39">
        <v>267.46600000000001</v>
      </c>
      <c r="E658" s="45">
        <v>812.32899999999995</v>
      </c>
      <c r="F658" s="39">
        <v>1274</v>
      </c>
      <c r="G658" s="39">
        <v>50</v>
      </c>
      <c r="H658" s="47">
        <v>600</v>
      </c>
      <c r="I658" s="39">
        <v>695</v>
      </c>
      <c r="J658" s="39">
        <v>50</v>
      </c>
      <c r="K658" s="40"/>
      <c r="L658" s="40"/>
      <c r="M658" s="40"/>
      <c r="N658" s="40"/>
      <c r="O658" s="40"/>
      <c r="P658" s="40"/>
      <c r="Q658" s="40"/>
      <c r="R658" s="40"/>
      <c r="S658" s="40"/>
      <c r="T658" s="40"/>
    </row>
    <row r="659" spans="1:20" ht="15.75">
      <c r="A659" s="13">
        <v>61209</v>
      </c>
      <c r="B659" s="48">
        <f t="shared" si="1"/>
        <v>31</v>
      </c>
      <c r="C659" s="39">
        <v>194.20500000000001</v>
      </c>
      <c r="D659" s="39">
        <v>267.46600000000001</v>
      </c>
      <c r="E659" s="45">
        <v>812.32899999999995</v>
      </c>
      <c r="F659" s="39">
        <v>1274</v>
      </c>
      <c r="G659" s="39">
        <v>50</v>
      </c>
      <c r="H659" s="47">
        <v>600</v>
      </c>
      <c r="I659" s="39">
        <v>695</v>
      </c>
      <c r="J659" s="39">
        <v>0</v>
      </c>
      <c r="K659" s="40"/>
      <c r="L659" s="40"/>
      <c r="M659" s="40"/>
      <c r="N659" s="40"/>
      <c r="O659" s="40"/>
      <c r="P659" s="40"/>
      <c r="Q659" s="40"/>
      <c r="R659" s="40"/>
      <c r="S659" s="40"/>
      <c r="T659" s="40"/>
    </row>
    <row r="660" spans="1:20" ht="15.75">
      <c r="A660" s="13">
        <v>61240</v>
      </c>
      <c r="B660" s="48">
        <f t="shared" si="1"/>
        <v>31</v>
      </c>
      <c r="C660" s="39">
        <v>194.20500000000001</v>
      </c>
      <c r="D660" s="39">
        <v>267.46600000000001</v>
      </c>
      <c r="E660" s="45">
        <v>812.32899999999995</v>
      </c>
      <c r="F660" s="39">
        <v>1274</v>
      </c>
      <c r="G660" s="39">
        <v>50</v>
      </c>
      <c r="H660" s="47">
        <v>600</v>
      </c>
      <c r="I660" s="39">
        <v>695</v>
      </c>
      <c r="J660" s="39">
        <v>0</v>
      </c>
      <c r="K660" s="40"/>
      <c r="L660" s="40"/>
      <c r="M660" s="40"/>
      <c r="N660" s="40"/>
      <c r="O660" s="40"/>
      <c r="P660" s="40"/>
      <c r="Q660" s="40"/>
      <c r="R660" s="40"/>
      <c r="S660" s="40"/>
      <c r="T660" s="40"/>
    </row>
    <row r="661" spans="1:20" ht="15.75">
      <c r="A661" s="13">
        <v>61270</v>
      </c>
      <c r="B661" s="48">
        <f t="shared" si="1"/>
        <v>30</v>
      </c>
      <c r="C661" s="39">
        <v>194.20500000000001</v>
      </c>
      <c r="D661" s="39">
        <v>267.46600000000001</v>
      </c>
      <c r="E661" s="45">
        <v>812.32899999999995</v>
      </c>
      <c r="F661" s="39">
        <v>1274</v>
      </c>
      <c r="G661" s="39">
        <v>50</v>
      </c>
      <c r="H661" s="47">
        <v>600</v>
      </c>
      <c r="I661" s="39">
        <v>695</v>
      </c>
      <c r="J661" s="39">
        <v>0</v>
      </c>
      <c r="K661" s="40"/>
      <c r="L661" s="40"/>
      <c r="M661" s="40"/>
      <c r="N661" s="40"/>
      <c r="O661" s="40"/>
      <c r="P661" s="40"/>
      <c r="Q661" s="40"/>
      <c r="R661" s="40"/>
      <c r="S661" s="40"/>
      <c r="T661" s="40"/>
    </row>
    <row r="662" spans="1:20" ht="15.75">
      <c r="A662" s="13">
        <v>61301</v>
      </c>
      <c r="B662" s="48">
        <f t="shared" si="1"/>
        <v>31</v>
      </c>
      <c r="C662" s="39">
        <v>131.881</v>
      </c>
      <c r="D662" s="39">
        <v>277.16699999999997</v>
      </c>
      <c r="E662" s="45">
        <v>829.952</v>
      </c>
      <c r="F662" s="39">
        <v>1239</v>
      </c>
      <c r="G662" s="39">
        <v>75</v>
      </c>
      <c r="H662" s="47">
        <v>600</v>
      </c>
      <c r="I662" s="39">
        <v>695</v>
      </c>
      <c r="J662" s="39">
        <v>0</v>
      </c>
      <c r="K662" s="40"/>
      <c r="L662" s="40"/>
      <c r="M662" s="40"/>
      <c r="N662" s="40"/>
      <c r="O662" s="40"/>
      <c r="P662" s="40"/>
      <c r="Q662" s="40"/>
      <c r="R662" s="40"/>
      <c r="S662" s="40"/>
      <c r="T662" s="40"/>
    </row>
    <row r="663" spans="1:20" ht="15.75">
      <c r="A663" s="13">
        <v>61331</v>
      </c>
      <c r="B663" s="48">
        <f t="shared" si="1"/>
        <v>30</v>
      </c>
      <c r="C663" s="39">
        <v>122.58</v>
      </c>
      <c r="D663" s="39">
        <v>297.94099999999997</v>
      </c>
      <c r="E663" s="45">
        <v>729.47900000000004</v>
      </c>
      <c r="F663" s="39">
        <v>1150</v>
      </c>
      <c r="G663" s="39">
        <v>100</v>
      </c>
      <c r="H663" s="47">
        <v>600</v>
      </c>
      <c r="I663" s="39">
        <v>695</v>
      </c>
      <c r="J663" s="39">
        <v>50</v>
      </c>
      <c r="K663" s="40"/>
      <c r="L663" s="40"/>
      <c r="M663" s="40"/>
      <c r="N663" s="40"/>
      <c r="O663" s="40"/>
      <c r="P663" s="40"/>
      <c r="Q663" s="40"/>
      <c r="R663" s="40"/>
      <c r="S663" s="40"/>
      <c r="T663" s="40"/>
    </row>
    <row r="664" spans="1:20" ht="15.75">
      <c r="A664" s="13">
        <v>61362</v>
      </c>
      <c r="B664" s="48">
        <f t="shared" si="1"/>
        <v>31</v>
      </c>
      <c r="C664" s="39">
        <v>122.58</v>
      </c>
      <c r="D664" s="39">
        <v>297.94099999999997</v>
      </c>
      <c r="E664" s="45">
        <v>729.47900000000004</v>
      </c>
      <c r="F664" s="39">
        <v>1150</v>
      </c>
      <c r="G664" s="39">
        <v>100</v>
      </c>
      <c r="H664" s="47">
        <v>600</v>
      </c>
      <c r="I664" s="39">
        <v>695</v>
      </c>
      <c r="J664" s="39">
        <v>50</v>
      </c>
      <c r="K664" s="40"/>
      <c r="L664" s="40"/>
      <c r="M664" s="40"/>
      <c r="N664" s="40"/>
      <c r="O664" s="40"/>
      <c r="P664" s="40"/>
      <c r="Q664" s="40"/>
      <c r="R664" s="40"/>
      <c r="S664" s="40"/>
      <c r="T664" s="40"/>
    </row>
    <row r="665" spans="1:20" ht="15.75">
      <c r="A665" s="13">
        <v>61393</v>
      </c>
      <c r="B665" s="48">
        <f t="shared" si="1"/>
        <v>31</v>
      </c>
      <c r="C665" s="39">
        <v>122.58</v>
      </c>
      <c r="D665" s="39">
        <v>297.94099999999997</v>
      </c>
      <c r="E665" s="45">
        <v>729.47900000000004</v>
      </c>
      <c r="F665" s="39">
        <v>1150</v>
      </c>
      <c r="G665" s="39">
        <v>100</v>
      </c>
      <c r="H665" s="47">
        <v>600</v>
      </c>
      <c r="I665" s="39">
        <v>695</v>
      </c>
      <c r="J665" s="39">
        <v>50</v>
      </c>
      <c r="K665" s="40"/>
      <c r="L665" s="40"/>
      <c r="M665" s="40"/>
      <c r="N665" s="40"/>
      <c r="O665" s="40"/>
      <c r="P665" s="40"/>
      <c r="Q665" s="40"/>
      <c r="R665" s="40"/>
      <c r="S665" s="40"/>
      <c r="T665" s="40"/>
    </row>
    <row r="666" spans="1:20" ht="15.75">
      <c r="A666" s="13">
        <v>61422</v>
      </c>
      <c r="B666" s="48">
        <f t="shared" si="1"/>
        <v>29</v>
      </c>
      <c r="C666" s="39">
        <v>122.58</v>
      </c>
      <c r="D666" s="39">
        <v>297.94099999999997</v>
      </c>
      <c r="E666" s="45">
        <v>729.47900000000004</v>
      </c>
      <c r="F666" s="39">
        <v>1150</v>
      </c>
      <c r="G666" s="39">
        <v>100</v>
      </c>
      <c r="H666" s="47">
        <v>600</v>
      </c>
      <c r="I666" s="39">
        <v>695</v>
      </c>
      <c r="J666" s="39">
        <v>50</v>
      </c>
      <c r="K666" s="40"/>
      <c r="L666" s="40"/>
      <c r="M666" s="40"/>
      <c r="N666" s="40"/>
      <c r="O666" s="40"/>
      <c r="P666" s="40"/>
      <c r="Q666" s="40"/>
      <c r="R666" s="40"/>
      <c r="S666" s="40"/>
      <c r="T666" s="40"/>
    </row>
    <row r="667" spans="1:20" ht="15.75">
      <c r="A667" s="13">
        <v>61453</v>
      </c>
      <c r="B667" s="48">
        <f t="shared" si="1"/>
        <v>31</v>
      </c>
      <c r="C667" s="39">
        <v>122.58</v>
      </c>
      <c r="D667" s="39">
        <v>297.94099999999997</v>
      </c>
      <c r="E667" s="45">
        <v>729.47900000000004</v>
      </c>
      <c r="F667" s="39">
        <v>1150</v>
      </c>
      <c r="G667" s="39">
        <v>100</v>
      </c>
      <c r="H667" s="47">
        <v>600</v>
      </c>
      <c r="I667" s="39">
        <v>695</v>
      </c>
      <c r="J667" s="39">
        <v>50</v>
      </c>
      <c r="K667" s="40"/>
      <c r="L667" s="40"/>
      <c r="M667" s="40"/>
      <c r="N667" s="40"/>
      <c r="O667" s="40"/>
      <c r="P667" s="40"/>
      <c r="Q667" s="40"/>
      <c r="R667" s="40"/>
      <c r="S667" s="40"/>
      <c r="T667" s="40"/>
    </row>
    <row r="668" spans="1:20" ht="15.75">
      <c r="A668" s="13">
        <v>61483</v>
      </c>
      <c r="B668" s="48">
        <f t="shared" si="1"/>
        <v>30</v>
      </c>
      <c r="C668" s="39">
        <v>141.29300000000001</v>
      </c>
      <c r="D668" s="39">
        <v>267.99299999999999</v>
      </c>
      <c r="E668" s="45">
        <v>829.71400000000006</v>
      </c>
      <c r="F668" s="39">
        <v>1239</v>
      </c>
      <c r="G668" s="39">
        <v>100</v>
      </c>
      <c r="H668" s="47">
        <v>600</v>
      </c>
      <c r="I668" s="39">
        <v>695</v>
      </c>
      <c r="J668" s="39">
        <v>50</v>
      </c>
      <c r="K668" s="40"/>
      <c r="L668" s="40"/>
      <c r="M668" s="40"/>
      <c r="N668" s="40"/>
      <c r="O668" s="40"/>
      <c r="P668" s="40"/>
      <c r="Q668" s="40"/>
      <c r="R668" s="40"/>
      <c r="S668" s="40"/>
      <c r="T668" s="40"/>
    </row>
    <row r="669" spans="1:20" ht="15.75">
      <c r="A669" s="13">
        <v>61514</v>
      </c>
      <c r="B669" s="48">
        <f t="shared" si="1"/>
        <v>31</v>
      </c>
      <c r="C669" s="39">
        <v>194.20500000000001</v>
      </c>
      <c r="D669" s="39">
        <v>267.46600000000001</v>
      </c>
      <c r="E669" s="45">
        <v>812.32899999999995</v>
      </c>
      <c r="F669" s="39">
        <v>1274</v>
      </c>
      <c r="G669" s="39">
        <v>75</v>
      </c>
      <c r="H669" s="47">
        <v>600</v>
      </c>
      <c r="I669" s="39">
        <v>695</v>
      </c>
      <c r="J669" s="39">
        <v>50</v>
      </c>
      <c r="K669" s="40"/>
      <c r="L669" s="40"/>
      <c r="M669" s="40"/>
      <c r="N669" s="40"/>
      <c r="O669" s="40"/>
      <c r="P669" s="40"/>
      <c r="Q669" s="40"/>
      <c r="R669" s="40"/>
      <c r="S669" s="40"/>
      <c r="T669" s="40"/>
    </row>
    <row r="670" spans="1:20" ht="15.75">
      <c r="A670" s="13">
        <v>61544</v>
      </c>
      <c r="B670" s="48">
        <f t="shared" si="1"/>
        <v>30</v>
      </c>
      <c r="C670" s="39">
        <v>194.20500000000001</v>
      </c>
      <c r="D670" s="39">
        <v>267.46600000000001</v>
      </c>
      <c r="E670" s="45">
        <v>812.32899999999995</v>
      </c>
      <c r="F670" s="39">
        <v>1274</v>
      </c>
      <c r="G670" s="39">
        <v>50</v>
      </c>
      <c r="H670" s="47">
        <v>600</v>
      </c>
      <c r="I670" s="39">
        <v>695</v>
      </c>
      <c r="J670" s="39">
        <v>50</v>
      </c>
      <c r="K670" s="40"/>
      <c r="L670" s="40"/>
      <c r="M670" s="40"/>
      <c r="N670" s="40"/>
      <c r="O670" s="40"/>
      <c r="P670" s="40"/>
      <c r="Q670" s="40"/>
      <c r="R670" s="40"/>
      <c r="S670" s="40"/>
      <c r="T670" s="40"/>
    </row>
    <row r="671" spans="1:20" ht="15.75">
      <c r="A671" s="13">
        <v>61575</v>
      </c>
      <c r="B671" s="48">
        <f t="shared" si="1"/>
        <v>31</v>
      </c>
      <c r="C671" s="39">
        <v>194.20500000000001</v>
      </c>
      <c r="D671" s="39">
        <v>267.46600000000001</v>
      </c>
      <c r="E671" s="45">
        <v>812.32899999999995</v>
      </c>
      <c r="F671" s="39">
        <v>1274</v>
      </c>
      <c r="G671" s="39">
        <v>50</v>
      </c>
      <c r="H671" s="47">
        <v>600</v>
      </c>
      <c r="I671" s="39">
        <v>695</v>
      </c>
      <c r="J671" s="39">
        <v>0</v>
      </c>
      <c r="K671" s="40"/>
      <c r="L671" s="40"/>
      <c r="M671" s="40"/>
      <c r="N671" s="40"/>
      <c r="O671" s="40"/>
      <c r="P671" s="40"/>
      <c r="Q671" s="40"/>
      <c r="R671" s="40"/>
      <c r="S671" s="40"/>
      <c r="T671" s="40"/>
    </row>
    <row r="672" spans="1:20" ht="15.75">
      <c r="A672" s="13">
        <v>61606</v>
      </c>
      <c r="B672" s="48">
        <f t="shared" si="1"/>
        <v>31</v>
      </c>
      <c r="C672" s="39">
        <v>194.20500000000001</v>
      </c>
      <c r="D672" s="39">
        <v>267.46600000000001</v>
      </c>
      <c r="E672" s="45">
        <v>812.32899999999995</v>
      </c>
      <c r="F672" s="39">
        <v>1274</v>
      </c>
      <c r="G672" s="39">
        <v>50</v>
      </c>
      <c r="H672" s="47">
        <v>600</v>
      </c>
      <c r="I672" s="39">
        <v>695</v>
      </c>
      <c r="J672" s="39">
        <v>0</v>
      </c>
      <c r="K672" s="40"/>
      <c r="L672" s="40"/>
      <c r="M672" s="40"/>
      <c r="N672" s="40"/>
      <c r="O672" s="40"/>
      <c r="P672" s="40"/>
      <c r="Q672" s="40"/>
      <c r="R672" s="40"/>
      <c r="S672" s="40"/>
      <c r="T672" s="40"/>
    </row>
    <row r="673" spans="1:20" ht="15.75">
      <c r="A673" s="13">
        <v>61636</v>
      </c>
      <c r="B673" s="48">
        <f t="shared" si="1"/>
        <v>30</v>
      </c>
      <c r="C673" s="39">
        <v>194.20500000000001</v>
      </c>
      <c r="D673" s="39">
        <v>267.46600000000001</v>
      </c>
      <c r="E673" s="45">
        <v>812.32899999999995</v>
      </c>
      <c r="F673" s="39">
        <v>1274</v>
      </c>
      <c r="G673" s="39">
        <v>50</v>
      </c>
      <c r="H673" s="47">
        <v>600</v>
      </c>
      <c r="I673" s="39">
        <v>695</v>
      </c>
      <c r="J673" s="39">
        <v>0</v>
      </c>
      <c r="K673" s="40"/>
      <c r="L673" s="40"/>
      <c r="M673" s="40"/>
      <c r="N673" s="40"/>
      <c r="O673" s="40"/>
      <c r="P673" s="40"/>
      <c r="Q673" s="40"/>
      <c r="R673" s="40"/>
      <c r="S673" s="40"/>
      <c r="T673" s="40"/>
    </row>
    <row r="674" spans="1:20" ht="15.75">
      <c r="A674" s="13">
        <v>61667</v>
      </c>
      <c r="B674" s="48">
        <f t="shared" si="1"/>
        <v>31</v>
      </c>
      <c r="C674" s="39">
        <v>131.881</v>
      </c>
      <c r="D674" s="39">
        <v>277.16699999999997</v>
      </c>
      <c r="E674" s="45">
        <v>829.952</v>
      </c>
      <c r="F674" s="39">
        <v>1239</v>
      </c>
      <c r="G674" s="39">
        <v>75</v>
      </c>
      <c r="H674" s="47">
        <v>600</v>
      </c>
      <c r="I674" s="39">
        <v>695</v>
      </c>
      <c r="J674" s="39">
        <v>0</v>
      </c>
      <c r="K674" s="40"/>
      <c r="L674" s="40"/>
      <c r="M674" s="40"/>
      <c r="N674" s="40"/>
      <c r="O674" s="40"/>
      <c r="P674" s="40"/>
      <c r="Q674" s="40"/>
      <c r="R674" s="40"/>
      <c r="S674" s="40"/>
      <c r="T674" s="40"/>
    </row>
    <row r="675" spans="1:20" ht="15.75">
      <c r="A675" s="13">
        <v>61697</v>
      </c>
      <c r="B675" s="48">
        <f t="shared" si="1"/>
        <v>30</v>
      </c>
      <c r="C675" s="39">
        <v>122.58</v>
      </c>
      <c r="D675" s="39">
        <v>297.94099999999997</v>
      </c>
      <c r="E675" s="45">
        <v>729.47900000000004</v>
      </c>
      <c r="F675" s="39">
        <v>1150</v>
      </c>
      <c r="G675" s="39">
        <v>100</v>
      </c>
      <c r="H675" s="47">
        <v>600</v>
      </c>
      <c r="I675" s="39">
        <v>695</v>
      </c>
      <c r="J675" s="39">
        <v>50</v>
      </c>
      <c r="K675" s="40"/>
      <c r="L675" s="40"/>
      <c r="M675" s="40"/>
      <c r="N675" s="40"/>
      <c r="O675" s="40"/>
      <c r="P675" s="40"/>
      <c r="Q675" s="40"/>
      <c r="R675" s="40"/>
      <c r="S675" s="40"/>
      <c r="T675" s="40"/>
    </row>
    <row r="676" spans="1:20" ht="15.75">
      <c r="A676" s="13">
        <v>61728</v>
      </c>
      <c r="B676" s="48">
        <f t="shared" si="1"/>
        <v>31</v>
      </c>
      <c r="C676" s="39">
        <v>122.58</v>
      </c>
      <c r="D676" s="39">
        <v>297.94099999999997</v>
      </c>
      <c r="E676" s="45">
        <v>729.47900000000004</v>
      </c>
      <c r="F676" s="39">
        <v>1150</v>
      </c>
      <c r="G676" s="39">
        <v>100</v>
      </c>
      <c r="H676" s="47">
        <v>600</v>
      </c>
      <c r="I676" s="39">
        <v>695</v>
      </c>
      <c r="J676" s="39">
        <v>50</v>
      </c>
      <c r="K676" s="40"/>
      <c r="L676" s="40"/>
      <c r="M676" s="40"/>
      <c r="N676" s="40"/>
      <c r="O676" s="40"/>
      <c r="P676" s="40"/>
      <c r="Q676" s="40"/>
      <c r="R676" s="40"/>
      <c r="S676" s="40"/>
      <c r="T676" s="40"/>
    </row>
    <row r="677" spans="1:20" ht="15.75">
      <c r="A677" s="13">
        <v>61759</v>
      </c>
      <c r="B677" s="48">
        <f t="shared" si="1"/>
        <v>31</v>
      </c>
      <c r="C677" s="39">
        <v>122.58</v>
      </c>
      <c r="D677" s="39">
        <v>297.94099999999997</v>
      </c>
      <c r="E677" s="45">
        <v>729.47900000000004</v>
      </c>
      <c r="F677" s="39">
        <v>1150</v>
      </c>
      <c r="G677" s="39">
        <v>100</v>
      </c>
      <c r="H677" s="47">
        <v>600</v>
      </c>
      <c r="I677" s="39">
        <v>695</v>
      </c>
      <c r="J677" s="39">
        <v>50</v>
      </c>
      <c r="K677" s="40"/>
      <c r="L677" s="40"/>
      <c r="M677" s="40"/>
      <c r="N677" s="40"/>
      <c r="O677" s="40"/>
      <c r="P677" s="40"/>
      <c r="Q677" s="40"/>
      <c r="R677" s="40"/>
      <c r="S677" s="40"/>
      <c r="T677" s="40"/>
    </row>
    <row r="678" spans="1:20" ht="15.75">
      <c r="A678" s="13">
        <v>61787</v>
      </c>
      <c r="B678" s="48">
        <f t="shared" si="1"/>
        <v>28</v>
      </c>
      <c r="C678" s="39">
        <v>122.58</v>
      </c>
      <c r="D678" s="39">
        <v>297.94099999999997</v>
      </c>
      <c r="E678" s="45">
        <v>729.47900000000004</v>
      </c>
      <c r="F678" s="39">
        <v>1150</v>
      </c>
      <c r="G678" s="39">
        <v>100</v>
      </c>
      <c r="H678" s="47">
        <v>600</v>
      </c>
      <c r="I678" s="39">
        <v>695</v>
      </c>
      <c r="J678" s="39">
        <v>50</v>
      </c>
      <c r="K678" s="40"/>
      <c r="L678" s="40"/>
      <c r="M678" s="40"/>
      <c r="N678" s="40"/>
      <c r="O678" s="40"/>
      <c r="P678" s="40"/>
      <c r="Q678" s="40"/>
      <c r="R678" s="40"/>
      <c r="S678" s="40"/>
      <c r="T678" s="40"/>
    </row>
    <row r="679" spans="1:20" ht="15.75">
      <c r="A679" s="13">
        <v>61818</v>
      </c>
      <c r="B679" s="48">
        <f t="shared" si="1"/>
        <v>31</v>
      </c>
      <c r="C679" s="39">
        <v>122.58</v>
      </c>
      <c r="D679" s="39">
        <v>297.94099999999997</v>
      </c>
      <c r="E679" s="45">
        <v>729.47900000000004</v>
      </c>
      <c r="F679" s="39">
        <v>1150</v>
      </c>
      <c r="G679" s="39">
        <v>100</v>
      </c>
      <c r="H679" s="47">
        <v>600</v>
      </c>
      <c r="I679" s="39">
        <v>695</v>
      </c>
      <c r="J679" s="39">
        <v>50</v>
      </c>
      <c r="K679" s="40"/>
      <c r="L679" s="40"/>
      <c r="M679" s="40"/>
      <c r="N679" s="40"/>
      <c r="O679" s="40"/>
      <c r="P679" s="40"/>
      <c r="Q679" s="40"/>
      <c r="R679" s="40"/>
      <c r="S679" s="40"/>
      <c r="T679" s="40"/>
    </row>
    <row r="680" spans="1:20" ht="15.75">
      <c r="A680" s="13">
        <v>61848</v>
      </c>
      <c r="B680" s="48">
        <f t="shared" si="1"/>
        <v>30</v>
      </c>
      <c r="C680" s="39">
        <v>141.29300000000001</v>
      </c>
      <c r="D680" s="39">
        <v>267.99299999999999</v>
      </c>
      <c r="E680" s="45">
        <v>829.71400000000006</v>
      </c>
      <c r="F680" s="39">
        <v>1239</v>
      </c>
      <c r="G680" s="39">
        <v>100</v>
      </c>
      <c r="H680" s="47">
        <v>600</v>
      </c>
      <c r="I680" s="39">
        <v>695</v>
      </c>
      <c r="J680" s="39">
        <v>50</v>
      </c>
      <c r="K680" s="40"/>
      <c r="L680" s="40"/>
      <c r="M680" s="40"/>
      <c r="N680" s="40"/>
      <c r="O680" s="40"/>
      <c r="P680" s="40"/>
      <c r="Q680" s="40"/>
      <c r="R680" s="40"/>
      <c r="S680" s="40"/>
      <c r="T680" s="40"/>
    </row>
    <row r="681" spans="1:20" ht="15.75">
      <c r="A681" s="13">
        <v>61879</v>
      </c>
      <c r="B681" s="48">
        <f t="shared" si="1"/>
        <v>31</v>
      </c>
      <c r="C681" s="39">
        <v>194.20500000000001</v>
      </c>
      <c r="D681" s="39">
        <v>267.46600000000001</v>
      </c>
      <c r="E681" s="45">
        <v>812.32899999999995</v>
      </c>
      <c r="F681" s="39">
        <v>1274</v>
      </c>
      <c r="G681" s="39">
        <v>75</v>
      </c>
      <c r="H681" s="47">
        <v>600</v>
      </c>
      <c r="I681" s="39">
        <v>695</v>
      </c>
      <c r="J681" s="39">
        <v>50</v>
      </c>
      <c r="K681" s="40"/>
      <c r="L681" s="40"/>
      <c r="M681" s="40"/>
      <c r="N681" s="40"/>
      <c r="O681" s="40"/>
      <c r="P681" s="40"/>
      <c r="Q681" s="40"/>
      <c r="R681" s="40"/>
      <c r="S681" s="40"/>
      <c r="T681" s="40"/>
    </row>
    <row r="682" spans="1:20" ht="15.75">
      <c r="A682" s="13">
        <v>61909</v>
      </c>
      <c r="B682" s="48">
        <f t="shared" si="1"/>
        <v>30</v>
      </c>
      <c r="C682" s="39">
        <v>194.20500000000001</v>
      </c>
      <c r="D682" s="39">
        <v>267.46600000000001</v>
      </c>
      <c r="E682" s="45">
        <v>812.32899999999995</v>
      </c>
      <c r="F682" s="39">
        <v>1274</v>
      </c>
      <c r="G682" s="39">
        <v>50</v>
      </c>
      <c r="H682" s="47">
        <v>600</v>
      </c>
      <c r="I682" s="39">
        <v>695</v>
      </c>
      <c r="J682" s="39">
        <v>50</v>
      </c>
      <c r="K682" s="40"/>
      <c r="L682" s="40"/>
      <c r="M682" s="40"/>
      <c r="N682" s="40"/>
      <c r="O682" s="40"/>
      <c r="P682" s="40"/>
      <c r="Q682" s="40"/>
      <c r="R682" s="40"/>
      <c r="S682" s="40"/>
      <c r="T682" s="40"/>
    </row>
    <row r="683" spans="1:20" ht="15.75">
      <c r="A683" s="13">
        <v>61940</v>
      </c>
      <c r="B683" s="48">
        <f t="shared" si="1"/>
        <v>31</v>
      </c>
      <c r="C683" s="39">
        <v>194.20500000000001</v>
      </c>
      <c r="D683" s="39">
        <v>267.46600000000001</v>
      </c>
      <c r="E683" s="45">
        <v>812.32899999999995</v>
      </c>
      <c r="F683" s="39">
        <v>1274</v>
      </c>
      <c r="G683" s="39">
        <v>50</v>
      </c>
      <c r="H683" s="47">
        <v>600</v>
      </c>
      <c r="I683" s="39">
        <v>695</v>
      </c>
      <c r="J683" s="39">
        <v>0</v>
      </c>
      <c r="K683" s="40"/>
      <c r="L683" s="40"/>
      <c r="M683" s="40"/>
      <c r="N683" s="40"/>
      <c r="O683" s="40"/>
      <c r="P683" s="40"/>
      <c r="Q683" s="40"/>
      <c r="R683" s="40"/>
      <c r="S683" s="40"/>
      <c r="T683" s="40"/>
    </row>
    <row r="684" spans="1:20" ht="15.75">
      <c r="A684" s="13">
        <v>61971</v>
      </c>
      <c r="B684" s="48">
        <f t="shared" si="1"/>
        <v>31</v>
      </c>
      <c r="C684" s="39">
        <v>194.20500000000001</v>
      </c>
      <c r="D684" s="39">
        <v>267.46600000000001</v>
      </c>
      <c r="E684" s="45">
        <v>812.32899999999995</v>
      </c>
      <c r="F684" s="39">
        <v>1274</v>
      </c>
      <c r="G684" s="39">
        <v>50</v>
      </c>
      <c r="H684" s="47">
        <v>600</v>
      </c>
      <c r="I684" s="39">
        <v>695</v>
      </c>
      <c r="J684" s="39">
        <v>0</v>
      </c>
      <c r="K684" s="40"/>
      <c r="L684" s="40"/>
      <c r="M684" s="40"/>
      <c r="N684" s="40"/>
      <c r="O684" s="40"/>
      <c r="P684" s="40"/>
      <c r="Q684" s="40"/>
      <c r="R684" s="40"/>
      <c r="S684" s="40"/>
      <c r="T684" s="40"/>
    </row>
    <row r="685" spans="1:20" ht="15.75">
      <c r="A685" s="13">
        <v>62001</v>
      </c>
      <c r="B685" s="48">
        <f t="shared" si="1"/>
        <v>30</v>
      </c>
      <c r="C685" s="39">
        <v>194.20500000000001</v>
      </c>
      <c r="D685" s="39">
        <v>267.46600000000001</v>
      </c>
      <c r="E685" s="45">
        <v>812.32899999999995</v>
      </c>
      <c r="F685" s="39">
        <v>1274</v>
      </c>
      <c r="G685" s="39">
        <v>50</v>
      </c>
      <c r="H685" s="47">
        <v>600</v>
      </c>
      <c r="I685" s="39">
        <v>695</v>
      </c>
      <c r="J685" s="39">
        <v>0</v>
      </c>
      <c r="K685" s="40"/>
      <c r="L685" s="40"/>
      <c r="M685" s="40"/>
      <c r="N685" s="40"/>
      <c r="O685" s="40"/>
      <c r="P685" s="40"/>
      <c r="Q685" s="40"/>
      <c r="R685" s="40"/>
      <c r="S685" s="40"/>
      <c r="T685" s="40"/>
    </row>
    <row r="686" spans="1:20" ht="15.75">
      <c r="A686" s="13">
        <v>62032</v>
      </c>
      <c r="B686" s="48">
        <f t="shared" si="1"/>
        <v>31</v>
      </c>
      <c r="C686" s="39">
        <v>131.881</v>
      </c>
      <c r="D686" s="39">
        <v>277.16699999999997</v>
      </c>
      <c r="E686" s="45">
        <v>829.952</v>
      </c>
      <c r="F686" s="39">
        <v>1239</v>
      </c>
      <c r="G686" s="39">
        <v>75</v>
      </c>
      <c r="H686" s="47">
        <v>600</v>
      </c>
      <c r="I686" s="39">
        <v>695</v>
      </c>
      <c r="J686" s="39">
        <v>0</v>
      </c>
      <c r="K686" s="40"/>
      <c r="L686" s="40"/>
      <c r="M686" s="40"/>
      <c r="N686" s="40"/>
      <c r="O686" s="40"/>
      <c r="P686" s="40"/>
      <c r="Q686" s="40"/>
      <c r="R686" s="40"/>
      <c r="S686" s="40"/>
      <c r="T686" s="40"/>
    </row>
    <row r="687" spans="1:20" ht="15.75">
      <c r="A687" s="13">
        <v>62062</v>
      </c>
      <c r="B687" s="48">
        <f t="shared" si="1"/>
        <v>30</v>
      </c>
      <c r="C687" s="39">
        <v>122.58</v>
      </c>
      <c r="D687" s="39">
        <v>297.94099999999997</v>
      </c>
      <c r="E687" s="45">
        <v>729.47900000000004</v>
      </c>
      <c r="F687" s="39">
        <v>1150</v>
      </c>
      <c r="G687" s="39">
        <v>100</v>
      </c>
      <c r="H687" s="47">
        <v>600</v>
      </c>
      <c r="I687" s="39">
        <v>695</v>
      </c>
      <c r="J687" s="39">
        <v>50</v>
      </c>
      <c r="K687" s="40"/>
      <c r="L687" s="40"/>
      <c r="M687" s="40"/>
      <c r="N687" s="40"/>
      <c r="O687" s="40"/>
      <c r="P687" s="40"/>
      <c r="Q687" s="40"/>
      <c r="R687" s="40"/>
      <c r="S687" s="40"/>
      <c r="T687" s="40"/>
    </row>
    <row r="688" spans="1:20" ht="15.75">
      <c r="A688" s="13">
        <v>62093</v>
      </c>
      <c r="B688" s="48">
        <f t="shared" si="1"/>
        <v>31</v>
      </c>
      <c r="C688" s="39">
        <v>122.58</v>
      </c>
      <c r="D688" s="39">
        <v>297.94099999999997</v>
      </c>
      <c r="E688" s="45">
        <v>729.47900000000004</v>
      </c>
      <c r="F688" s="39">
        <v>1150</v>
      </c>
      <c r="G688" s="39">
        <v>100</v>
      </c>
      <c r="H688" s="47">
        <v>600</v>
      </c>
      <c r="I688" s="39">
        <v>695</v>
      </c>
      <c r="J688" s="39">
        <v>50</v>
      </c>
      <c r="K688" s="40"/>
      <c r="L688" s="40"/>
      <c r="M688" s="40"/>
      <c r="N688" s="40"/>
      <c r="O688" s="40"/>
      <c r="P688" s="40"/>
      <c r="Q688" s="40"/>
      <c r="R688" s="40"/>
      <c r="S688" s="40"/>
      <c r="T688" s="40"/>
    </row>
    <row r="689" spans="1:20" ht="15.75">
      <c r="A689" s="13">
        <v>62124</v>
      </c>
      <c r="B689" s="48">
        <f t="shared" si="1"/>
        <v>31</v>
      </c>
      <c r="C689" s="39">
        <v>122.58</v>
      </c>
      <c r="D689" s="39">
        <v>297.94099999999997</v>
      </c>
      <c r="E689" s="45">
        <v>729.47900000000004</v>
      </c>
      <c r="F689" s="39">
        <v>1150</v>
      </c>
      <c r="G689" s="39">
        <v>100</v>
      </c>
      <c r="H689" s="47">
        <v>600</v>
      </c>
      <c r="I689" s="39">
        <v>695</v>
      </c>
      <c r="J689" s="39">
        <v>50</v>
      </c>
      <c r="K689" s="40"/>
      <c r="L689" s="40"/>
      <c r="M689" s="40"/>
      <c r="N689" s="40"/>
      <c r="O689" s="40"/>
      <c r="P689" s="40"/>
      <c r="Q689" s="40"/>
      <c r="R689" s="40"/>
      <c r="S689" s="40"/>
      <c r="T689" s="40"/>
    </row>
    <row r="690" spans="1:20" ht="15.75">
      <c r="A690" s="13">
        <v>62152</v>
      </c>
      <c r="B690" s="48">
        <f t="shared" si="1"/>
        <v>28</v>
      </c>
      <c r="C690" s="39">
        <v>122.58</v>
      </c>
      <c r="D690" s="39">
        <v>297.94099999999997</v>
      </c>
      <c r="E690" s="45">
        <v>729.47900000000004</v>
      </c>
      <c r="F690" s="39">
        <v>1150</v>
      </c>
      <c r="G690" s="39">
        <v>100</v>
      </c>
      <c r="H690" s="47">
        <v>600</v>
      </c>
      <c r="I690" s="39">
        <v>695</v>
      </c>
      <c r="J690" s="39">
        <v>50</v>
      </c>
      <c r="K690" s="40"/>
      <c r="L690" s="40"/>
      <c r="M690" s="40"/>
      <c r="N690" s="40"/>
      <c r="O690" s="40"/>
      <c r="P690" s="40"/>
      <c r="Q690" s="40"/>
      <c r="R690" s="40"/>
      <c r="S690" s="40"/>
      <c r="T690" s="40"/>
    </row>
    <row r="691" spans="1:20" ht="15.75">
      <c r="A691" s="13">
        <v>62183</v>
      </c>
      <c r="B691" s="48">
        <f t="shared" si="1"/>
        <v>31</v>
      </c>
      <c r="C691" s="39">
        <v>122.58</v>
      </c>
      <c r="D691" s="39">
        <v>297.94099999999997</v>
      </c>
      <c r="E691" s="45">
        <v>729.47900000000004</v>
      </c>
      <c r="F691" s="39">
        <v>1150</v>
      </c>
      <c r="G691" s="39">
        <v>100</v>
      </c>
      <c r="H691" s="47">
        <v>600</v>
      </c>
      <c r="I691" s="39">
        <v>695</v>
      </c>
      <c r="J691" s="39">
        <v>50</v>
      </c>
      <c r="K691" s="40"/>
      <c r="L691" s="40"/>
      <c r="M691" s="40"/>
      <c r="N691" s="40"/>
      <c r="O691" s="40"/>
      <c r="P691" s="40"/>
      <c r="Q691" s="40"/>
      <c r="R691" s="40"/>
      <c r="S691" s="40"/>
      <c r="T691" s="40"/>
    </row>
    <row r="692" spans="1:20" ht="15.75">
      <c r="A692" s="13">
        <v>62213</v>
      </c>
      <c r="B692" s="48">
        <f t="shared" si="1"/>
        <v>30</v>
      </c>
      <c r="C692" s="39">
        <v>141.29300000000001</v>
      </c>
      <c r="D692" s="39">
        <v>267.99299999999999</v>
      </c>
      <c r="E692" s="45">
        <v>829.71400000000006</v>
      </c>
      <c r="F692" s="39">
        <v>1239</v>
      </c>
      <c r="G692" s="39">
        <v>100</v>
      </c>
      <c r="H692" s="47">
        <v>600</v>
      </c>
      <c r="I692" s="39">
        <v>695</v>
      </c>
      <c r="J692" s="39">
        <v>50</v>
      </c>
      <c r="K692" s="40"/>
      <c r="L692" s="40"/>
      <c r="M692" s="40"/>
      <c r="N692" s="40"/>
      <c r="O692" s="40"/>
      <c r="P692" s="40"/>
      <c r="Q692" s="40"/>
      <c r="R692" s="40"/>
      <c r="S692" s="40"/>
      <c r="T692" s="40"/>
    </row>
    <row r="693" spans="1:20" ht="15.75">
      <c r="A693" s="13">
        <v>62244</v>
      </c>
      <c r="B693" s="48">
        <f t="shared" si="1"/>
        <v>31</v>
      </c>
      <c r="C693" s="39">
        <v>194.20500000000001</v>
      </c>
      <c r="D693" s="39">
        <v>267.46600000000001</v>
      </c>
      <c r="E693" s="45">
        <v>812.32899999999995</v>
      </c>
      <c r="F693" s="39">
        <v>1274</v>
      </c>
      <c r="G693" s="39">
        <v>75</v>
      </c>
      <c r="H693" s="47">
        <v>600</v>
      </c>
      <c r="I693" s="39">
        <v>695</v>
      </c>
      <c r="J693" s="39">
        <v>50</v>
      </c>
      <c r="K693" s="40"/>
      <c r="L693" s="40"/>
      <c r="M693" s="40"/>
      <c r="N693" s="40"/>
      <c r="O693" s="40"/>
      <c r="P693" s="40"/>
      <c r="Q693" s="40"/>
      <c r="R693" s="40"/>
      <c r="S693" s="40"/>
      <c r="T693" s="40"/>
    </row>
    <row r="694" spans="1:20" ht="15.75">
      <c r="A694" s="13">
        <v>62274</v>
      </c>
      <c r="B694" s="48">
        <f t="shared" si="1"/>
        <v>30</v>
      </c>
      <c r="C694" s="39">
        <v>194.20500000000001</v>
      </c>
      <c r="D694" s="39">
        <v>267.46600000000001</v>
      </c>
      <c r="E694" s="45">
        <v>812.32899999999995</v>
      </c>
      <c r="F694" s="39">
        <v>1274</v>
      </c>
      <c r="G694" s="39">
        <v>50</v>
      </c>
      <c r="H694" s="47">
        <v>600</v>
      </c>
      <c r="I694" s="39">
        <v>695</v>
      </c>
      <c r="J694" s="39">
        <v>50</v>
      </c>
      <c r="K694" s="40"/>
      <c r="L694" s="40"/>
      <c r="M694" s="40"/>
      <c r="N694" s="40"/>
      <c r="O694" s="40"/>
      <c r="P694" s="40"/>
      <c r="Q694" s="40"/>
      <c r="R694" s="40"/>
      <c r="S694" s="40"/>
      <c r="T694" s="40"/>
    </row>
    <row r="695" spans="1:20" ht="15.75">
      <c r="A695" s="13">
        <v>62305</v>
      </c>
      <c r="B695" s="48">
        <f t="shared" si="1"/>
        <v>31</v>
      </c>
      <c r="C695" s="39">
        <v>194.20500000000001</v>
      </c>
      <c r="D695" s="39">
        <v>267.46600000000001</v>
      </c>
      <c r="E695" s="45">
        <v>812.32899999999995</v>
      </c>
      <c r="F695" s="39">
        <v>1274</v>
      </c>
      <c r="G695" s="39">
        <v>50</v>
      </c>
      <c r="H695" s="47">
        <v>600</v>
      </c>
      <c r="I695" s="39">
        <v>695</v>
      </c>
      <c r="J695" s="39">
        <v>0</v>
      </c>
      <c r="K695" s="40"/>
      <c r="L695" s="40"/>
      <c r="M695" s="40"/>
      <c r="N695" s="40"/>
      <c r="O695" s="40"/>
      <c r="P695" s="40"/>
      <c r="Q695" s="40"/>
      <c r="R695" s="40"/>
      <c r="S695" s="40"/>
      <c r="T695" s="40"/>
    </row>
    <row r="696" spans="1:20" ht="15.75">
      <c r="A696" s="13">
        <v>62336</v>
      </c>
      <c r="B696" s="48">
        <f t="shared" si="1"/>
        <v>31</v>
      </c>
      <c r="C696" s="39">
        <v>194.20500000000001</v>
      </c>
      <c r="D696" s="39">
        <v>267.46600000000001</v>
      </c>
      <c r="E696" s="45">
        <v>812.32899999999995</v>
      </c>
      <c r="F696" s="39">
        <v>1274</v>
      </c>
      <c r="G696" s="39">
        <v>50</v>
      </c>
      <c r="H696" s="47">
        <v>600</v>
      </c>
      <c r="I696" s="39">
        <v>695</v>
      </c>
      <c r="J696" s="39">
        <v>0</v>
      </c>
      <c r="K696" s="40"/>
      <c r="L696" s="40"/>
      <c r="M696" s="40"/>
      <c r="N696" s="40"/>
      <c r="O696" s="40"/>
      <c r="P696" s="40"/>
      <c r="Q696" s="40"/>
      <c r="R696" s="40"/>
      <c r="S696" s="40"/>
      <c r="T696" s="40"/>
    </row>
    <row r="697" spans="1:20" ht="15.75">
      <c r="A697" s="13">
        <v>62366</v>
      </c>
      <c r="B697" s="48">
        <f t="shared" si="1"/>
        <v>30</v>
      </c>
      <c r="C697" s="39">
        <v>194.20500000000001</v>
      </c>
      <c r="D697" s="39">
        <v>267.46600000000001</v>
      </c>
      <c r="E697" s="45">
        <v>812.32899999999995</v>
      </c>
      <c r="F697" s="39">
        <v>1274</v>
      </c>
      <c r="G697" s="39">
        <v>50</v>
      </c>
      <c r="H697" s="47">
        <v>600</v>
      </c>
      <c r="I697" s="39">
        <v>695</v>
      </c>
      <c r="J697" s="39">
        <v>0</v>
      </c>
      <c r="K697" s="40"/>
      <c r="L697" s="40"/>
      <c r="M697" s="40"/>
      <c r="N697" s="40"/>
      <c r="O697" s="40"/>
      <c r="P697" s="40"/>
      <c r="Q697" s="40"/>
      <c r="R697" s="40"/>
      <c r="S697" s="40"/>
      <c r="T697" s="40"/>
    </row>
    <row r="698" spans="1:20" ht="15.75">
      <c r="A698" s="13">
        <v>62397</v>
      </c>
      <c r="B698" s="48">
        <f t="shared" si="1"/>
        <v>31</v>
      </c>
      <c r="C698" s="39">
        <v>131.881</v>
      </c>
      <c r="D698" s="39">
        <v>277.16699999999997</v>
      </c>
      <c r="E698" s="45">
        <v>829.952</v>
      </c>
      <c r="F698" s="39">
        <v>1239</v>
      </c>
      <c r="G698" s="39">
        <v>75</v>
      </c>
      <c r="H698" s="47">
        <v>600</v>
      </c>
      <c r="I698" s="39">
        <v>695</v>
      </c>
      <c r="J698" s="39">
        <v>0</v>
      </c>
      <c r="K698" s="40"/>
      <c r="L698" s="40"/>
      <c r="M698" s="40"/>
      <c r="N698" s="40"/>
      <c r="O698" s="40"/>
      <c r="P698" s="40"/>
      <c r="Q698" s="40"/>
      <c r="R698" s="40"/>
      <c r="S698" s="40"/>
      <c r="T698" s="40"/>
    </row>
    <row r="699" spans="1:20" ht="15.75">
      <c r="A699" s="13">
        <v>62427</v>
      </c>
      <c r="B699" s="48">
        <f t="shared" si="1"/>
        <v>30</v>
      </c>
      <c r="C699" s="39">
        <v>122.58</v>
      </c>
      <c r="D699" s="39">
        <v>297.94099999999997</v>
      </c>
      <c r="E699" s="45">
        <v>729.47900000000004</v>
      </c>
      <c r="F699" s="39">
        <v>1150</v>
      </c>
      <c r="G699" s="39">
        <v>100</v>
      </c>
      <c r="H699" s="47">
        <v>600</v>
      </c>
      <c r="I699" s="39">
        <v>695</v>
      </c>
      <c r="J699" s="39">
        <v>50</v>
      </c>
      <c r="K699" s="40"/>
      <c r="L699" s="40"/>
      <c r="M699" s="40"/>
      <c r="N699" s="40"/>
      <c r="O699" s="40"/>
      <c r="P699" s="40"/>
      <c r="Q699" s="40"/>
      <c r="R699" s="40"/>
      <c r="S699" s="40"/>
      <c r="T699" s="40"/>
    </row>
    <row r="700" spans="1:20" ht="15.75">
      <c r="A700" s="13">
        <v>62458</v>
      </c>
      <c r="B700" s="48">
        <f t="shared" si="1"/>
        <v>31</v>
      </c>
      <c r="C700" s="39">
        <v>122.58</v>
      </c>
      <c r="D700" s="39">
        <v>297.94099999999997</v>
      </c>
      <c r="E700" s="45">
        <v>729.47900000000004</v>
      </c>
      <c r="F700" s="39">
        <v>1150</v>
      </c>
      <c r="G700" s="39">
        <v>100</v>
      </c>
      <c r="H700" s="47">
        <v>600</v>
      </c>
      <c r="I700" s="39">
        <v>695</v>
      </c>
      <c r="J700" s="39">
        <v>50</v>
      </c>
      <c r="K700" s="40"/>
      <c r="L700" s="40"/>
      <c r="M700" s="40"/>
      <c r="N700" s="40"/>
      <c r="O700" s="40"/>
      <c r="P700" s="40"/>
      <c r="Q700" s="40"/>
      <c r="R700" s="40"/>
      <c r="S700" s="40"/>
      <c r="T700" s="40"/>
    </row>
    <row r="701" spans="1:20" ht="15.75">
      <c r="A701" s="13">
        <v>62489</v>
      </c>
      <c r="B701" s="48">
        <f t="shared" si="1"/>
        <v>31</v>
      </c>
      <c r="C701" s="39">
        <v>122.58</v>
      </c>
      <c r="D701" s="39">
        <v>297.94099999999997</v>
      </c>
      <c r="E701" s="45">
        <v>729.47900000000004</v>
      </c>
      <c r="F701" s="39">
        <v>1150</v>
      </c>
      <c r="G701" s="39">
        <v>100</v>
      </c>
      <c r="H701" s="47">
        <v>600</v>
      </c>
      <c r="I701" s="39">
        <v>695</v>
      </c>
      <c r="J701" s="39">
        <v>50</v>
      </c>
      <c r="K701" s="40"/>
      <c r="L701" s="40"/>
      <c r="M701" s="40"/>
      <c r="N701" s="40"/>
      <c r="O701" s="40"/>
      <c r="P701" s="40"/>
      <c r="Q701" s="40"/>
      <c r="R701" s="40"/>
      <c r="S701" s="40"/>
      <c r="T701" s="40"/>
    </row>
    <row r="702" spans="1:20" ht="15.75">
      <c r="A702" s="13">
        <v>62517</v>
      </c>
      <c r="B702" s="48">
        <f t="shared" si="1"/>
        <v>28</v>
      </c>
      <c r="C702" s="39">
        <v>122.58</v>
      </c>
      <c r="D702" s="39">
        <v>297.94099999999997</v>
      </c>
      <c r="E702" s="45">
        <v>729.47900000000004</v>
      </c>
      <c r="F702" s="39">
        <v>1150</v>
      </c>
      <c r="G702" s="39">
        <v>100</v>
      </c>
      <c r="H702" s="47">
        <v>600</v>
      </c>
      <c r="I702" s="39">
        <v>695</v>
      </c>
      <c r="J702" s="39">
        <v>50</v>
      </c>
      <c r="K702" s="40"/>
      <c r="L702" s="40"/>
      <c r="M702" s="40"/>
      <c r="N702" s="40"/>
      <c r="O702" s="40"/>
      <c r="P702" s="40"/>
      <c r="Q702" s="40"/>
      <c r="R702" s="40"/>
      <c r="S702" s="40"/>
      <c r="T702" s="40"/>
    </row>
    <row r="703" spans="1:20" ht="15.75">
      <c r="A703" s="13">
        <v>62548</v>
      </c>
      <c r="B703" s="48">
        <f t="shared" si="1"/>
        <v>31</v>
      </c>
      <c r="C703" s="39">
        <v>122.58</v>
      </c>
      <c r="D703" s="39">
        <v>297.94099999999997</v>
      </c>
      <c r="E703" s="45">
        <v>729.47900000000004</v>
      </c>
      <c r="F703" s="39">
        <v>1150</v>
      </c>
      <c r="G703" s="39">
        <v>100</v>
      </c>
      <c r="H703" s="47">
        <v>600</v>
      </c>
      <c r="I703" s="39">
        <v>695</v>
      </c>
      <c r="J703" s="39">
        <v>50</v>
      </c>
      <c r="K703" s="40"/>
      <c r="L703" s="40"/>
      <c r="M703" s="40"/>
      <c r="N703" s="40"/>
      <c r="O703" s="40"/>
      <c r="P703" s="40"/>
      <c r="Q703" s="40"/>
      <c r="R703" s="40"/>
      <c r="S703" s="40"/>
      <c r="T703" s="40"/>
    </row>
    <row r="704" spans="1:20" ht="15.75">
      <c r="A704" s="13">
        <v>62578</v>
      </c>
      <c r="B704" s="48">
        <f t="shared" si="1"/>
        <v>30</v>
      </c>
      <c r="C704" s="39">
        <v>141.29300000000001</v>
      </c>
      <c r="D704" s="39">
        <v>267.99299999999999</v>
      </c>
      <c r="E704" s="45">
        <v>829.71400000000006</v>
      </c>
      <c r="F704" s="39">
        <v>1239</v>
      </c>
      <c r="G704" s="39">
        <v>100</v>
      </c>
      <c r="H704" s="47">
        <v>600</v>
      </c>
      <c r="I704" s="39">
        <v>695</v>
      </c>
      <c r="J704" s="39">
        <v>50</v>
      </c>
      <c r="K704" s="40"/>
      <c r="L704" s="40"/>
      <c r="M704" s="40"/>
      <c r="N704" s="40"/>
      <c r="O704" s="40"/>
      <c r="P704" s="40"/>
      <c r="Q704" s="40"/>
      <c r="R704" s="40"/>
      <c r="S704" s="40"/>
      <c r="T704" s="40"/>
    </row>
    <row r="705" spans="1:20" ht="15.75">
      <c r="A705" s="13">
        <v>62609</v>
      </c>
      <c r="B705" s="48">
        <f t="shared" si="1"/>
        <v>31</v>
      </c>
      <c r="C705" s="39">
        <v>194.20500000000001</v>
      </c>
      <c r="D705" s="39">
        <v>267.46600000000001</v>
      </c>
      <c r="E705" s="45">
        <v>812.32899999999995</v>
      </c>
      <c r="F705" s="39">
        <v>1274</v>
      </c>
      <c r="G705" s="39">
        <v>75</v>
      </c>
      <c r="H705" s="47">
        <v>600</v>
      </c>
      <c r="I705" s="39">
        <v>695</v>
      </c>
      <c r="J705" s="39">
        <v>50</v>
      </c>
      <c r="K705" s="40"/>
      <c r="L705" s="40"/>
      <c r="M705" s="40"/>
      <c r="N705" s="40"/>
      <c r="O705" s="40"/>
      <c r="P705" s="40"/>
      <c r="Q705" s="40"/>
      <c r="R705" s="40"/>
      <c r="S705" s="40"/>
      <c r="T705" s="40"/>
    </row>
    <row r="706" spans="1:20" ht="15.75">
      <c r="A706" s="13">
        <v>62639</v>
      </c>
      <c r="B706" s="48">
        <f t="shared" si="1"/>
        <v>30</v>
      </c>
      <c r="C706" s="39">
        <v>194.20500000000001</v>
      </c>
      <c r="D706" s="39">
        <v>267.46600000000001</v>
      </c>
      <c r="E706" s="45">
        <v>812.32899999999995</v>
      </c>
      <c r="F706" s="39">
        <v>1274</v>
      </c>
      <c r="G706" s="39">
        <v>50</v>
      </c>
      <c r="H706" s="47">
        <v>600</v>
      </c>
      <c r="I706" s="39">
        <v>695</v>
      </c>
      <c r="J706" s="39">
        <v>50</v>
      </c>
      <c r="K706" s="40"/>
      <c r="L706" s="40"/>
      <c r="M706" s="40"/>
      <c r="N706" s="40"/>
      <c r="O706" s="40"/>
      <c r="P706" s="40"/>
      <c r="Q706" s="40"/>
      <c r="R706" s="40"/>
      <c r="S706" s="40"/>
      <c r="T706" s="40"/>
    </row>
    <row r="707" spans="1:20" ht="15.75">
      <c r="A707" s="13">
        <v>62670</v>
      </c>
      <c r="B707" s="48">
        <f t="shared" si="1"/>
        <v>31</v>
      </c>
      <c r="C707" s="39">
        <v>194.20500000000001</v>
      </c>
      <c r="D707" s="39">
        <v>267.46600000000001</v>
      </c>
      <c r="E707" s="45">
        <v>812.32899999999995</v>
      </c>
      <c r="F707" s="39">
        <v>1274</v>
      </c>
      <c r="G707" s="39">
        <v>50</v>
      </c>
      <c r="H707" s="47">
        <v>600</v>
      </c>
      <c r="I707" s="39">
        <v>695</v>
      </c>
      <c r="J707" s="39">
        <v>0</v>
      </c>
      <c r="K707" s="40"/>
      <c r="L707" s="40"/>
      <c r="M707" s="40"/>
      <c r="N707" s="40"/>
      <c r="O707" s="40"/>
      <c r="P707" s="40"/>
      <c r="Q707" s="40"/>
      <c r="R707" s="40"/>
      <c r="S707" s="40"/>
      <c r="T707" s="40"/>
    </row>
    <row r="708" spans="1:20" ht="15.75">
      <c r="A708" s="13">
        <v>62701</v>
      </c>
      <c r="B708" s="48">
        <f t="shared" si="1"/>
        <v>31</v>
      </c>
      <c r="C708" s="39">
        <v>194.20500000000001</v>
      </c>
      <c r="D708" s="39">
        <v>267.46600000000001</v>
      </c>
      <c r="E708" s="45">
        <v>812.32899999999995</v>
      </c>
      <c r="F708" s="39">
        <v>1274</v>
      </c>
      <c r="G708" s="39">
        <v>50</v>
      </c>
      <c r="H708" s="47">
        <v>600</v>
      </c>
      <c r="I708" s="39">
        <v>695</v>
      </c>
      <c r="J708" s="39">
        <v>0</v>
      </c>
      <c r="K708" s="40"/>
      <c r="L708" s="40"/>
      <c r="M708" s="40"/>
      <c r="N708" s="40"/>
      <c r="O708" s="40"/>
      <c r="P708" s="40"/>
      <c r="Q708" s="40"/>
      <c r="R708" s="40"/>
      <c r="S708" s="40"/>
      <c r="T708" s="40"/>
    </row>
    <row r="709" spans="1:20" ht="15.75">
      <c r="A709" s="13">
        <v>62731</v>
      </c>
      <c r="B709" s="48">
        <f t="shared" si="1"/>
        <v>30</v>
      </c>
      <c r="C709" s="39">
        <v>194.20500000000001</v>
      </c>
      <c r="D709" s="39">
        <v>267.46600000000001</v>
      </c>
      <c r="E709" s="45">
        <v>812.32899999999995</v>
      </c>
      <c r="F709" s="39">
        <v>1274</v>
      </c>
      <c r="G709" s="39">
        <v>50</v>
      </c>
      <c r="H709" s="47">
        <v>600</v>
      </c>
      <c r="I709" s="39">
        <v>695</v>
      </c>
      <c r="J709" s="39">
        <v>0</v>
      </c>
      <c r="K709" s="40"/>
      <c r="L709" s="40"/>
      <c r="M709" s="40"/>
      <c r="N709" s="40"/>
      <c r="O709" s="40"/>
      <c r="P709" s="40"/>
      <c r="Q709" s="40"/>
      <c r="R709" s="40"/>
      <c r="S709" s="40"/>
      <c r="T709" s="40"/>
    </row>
    <row r="710" spans="1:20" ht="15.75">
      <c r="A710" s="13">
        <v>62762</v>
      </c>
      <c r="B710" s="48">
        <f t="shared" si="1"/>
        <v>31</v>
      </c>
      <c r="C710" s="39">
        <v>131.881</v>
      </c>
      <c r="D710" s="39">
        <v>277.16699999999997</v>
      </c>
      <c r="E710" s="45">
        <v>829.952</v>
      </c>
      <c r="F710" s="39">
        <v>1239</v>
      </c>
      <c r="G710" s="39">
        <v>75</v>
      </c>
      <c r="H710" s="47">
        <v>600</v>
      </c>
      <c r="I710" s="39">
        <v>695</v>
      </c>
      <c r="J710" s="39">
        <v>0</v>
      </c>
      <c r="K710" s="40"/>
      <c r="L710" s="40"/>
      <c r="M710" s="40"/>
      <c r="N710" s="40"/>
      <c r="O710" s="40"/>
      <c r="P710" s="40"/>
      <c r="Q710" s="40"/>
      <c r="R710" s="40"/>
      <c r="S710" s="40"/>
      <c r="T710" s="40"/>
    </row>
    <row r="711" spans="1:20" ht="15.75">
      <c r="A711" s="13">
        <v>62792</v>
      </c>
      <c r="B711" s="48">
        <f t="shared" si="1"/>
        <v>30</v>
      </c>
      <c r="C711" s="39">
        <v>122.58</v>
      </c>
      <c r="D711" s="39">
        <v>297.94099999999997</v>
      </c>
      <c r="E711" s="45">
        <v>729.47900000000004</v>
      </c>
      <c r="F711" s="39">
        <v>1150</v>
      </c>
      <c r="G711" s="39">
        <v>100</v>
      </c>
      <c r="H711" s="47">
        <v>600</v>
      </c>
      <c r="I711" s="39">
        <v>695</v>
      </c>
      <c r="J711" s="39">
        <v>50</v>
      </c>
      <c r="K711" s="40"/>
      <c r="L711" s="40"/>
      <c r="M711" s="40"/>
      <c r="N711" s="40"/>
      <c r="O711" s="40"/>
      <c r="P711" s="40"/>
      <c r="Q711" s="40"/>
      <c r="R711" s="40"/>
      <c r="S711" s="40"/>
      <c r="T711" s="40"/>
    </row>
    <row r="712" spans="1:20" ht="15.75">
      <c r="A712" s="13">
        <v>62823</v>
      </c>
      <c r="B712" s="48">
        <f t="shared" si="1"/>
        <v>31</v>
      </c>
      <c r="C712" s="39">
        <v>122.58</v>
      </c>
      <c r="D712" s="39">
        <v>297.94099999999997</v>
      </c>
      <c r="E712" s="45">
        <v>729.47900000000004</v>
      </c>
      <c r="F712" s="39">
        <v>1150</v>
      </c>
      <c r="G712" s="39">
        <v>100</v>
      </c>
      <c r="H712" s="47">
        <v>600</v>
      </c>
      <c r="I712" s="39">
        <v>695</v>
      </c>
      <c r="J712" s="39">
        <v>50</v>
      </c>
      <c r="K712" s="40"/>
      <c r="L712" s="40"/>
      <c r="M712" s="40"/>
      <c r="N712" s="40"/>
      <c r="O712" s="40"/>
      <c r="P712" s="40"/>
      <c r="Q712" s="40"/>
      <c r="R712" s="40"/>
      <c r="S712" s="40"/>
      <c r="T712" s="40"/>
    </row>
    <row r="713" spans="1:20" ht="15.75">
      <c r="A713" s="13">
        <v>62854</v>
      </c>
      <c r="B713" s="48">
        <f t="shared" si="1"/>
        <v>31</v>
      </c>
      <c r="C713" s="39">
        <v>122.58</v>
      </c>
      <c r="D713" s="39">
        <v>297.94099999999997</v>
      </c>
      <c r="E713" s="45">
        <v>729.47900000000004</v>
      </c>
      <c r="F713" s="39">
        <v>1150</v>
      </c>
      <c r="G713" s="39">
        <v>100</v>
      </c>
      <c r="H713" s="47">
        <v>600</v>
      </c>
      <c r="I713" s="39">
        <v>695</v>
      </c>
      <c r="J713" s="39">
        <v>50</v>
      </c>
      <c r="K713" s="40"/>
      <c r="L713" s="40"/>
      <c r="M713" s="40"/>
      <c r="N713" s="40"/>
      <c r="O713" s="40"/>
      <c r="P713" s="40"/>
      <c r="Q713" s="40"/>
      <c r="R713" s="40"/>
      <c r="S713" s="40"/>
      <c r="T713" s="40"/>
    </row>
    <row r="714" spans="1:20" ht="15.75">
      <c r="A714" s="13">
        <v>62883</v>
      </c>
      <c r="B714" s="48">
        <f t="shared" si="1"/>
        <v>29</v>
      </c>
      <c r="C714" s="39">
        <v>122.58</v>
      </c>
      <c r="D714" s="39">
        <v>297.94099999999997</v>
      </c>
      <c r="E714" s="45">
        <v>729.47900000000004</v>
      </c>
      <c r="F714" s="39">
        <v>1150</v>
      </c>
      <c r="G714" s="39">
        <v>100</v>
      </c>
      <c r="H714" s="47">
        <v>600</v>
      </c>
      <c r="I714" s="39">
        <v>695</v>
      </c>
      <c r="J714" s="39">
        <v>50</v>
      </c>
      <c r="K714" s="40"/>
      <c r="L714" s="40"/>
      <c r="M714" s="40"/>
      <c r="N714" s="40"/>
      <c r="O714" s="40"/>
      <c r="P714" s="40"/>
      <c r="Q714" s="40"/>
      <c r="R714" s="40"/>
      <c r="S714" s="40"/>
      <c r="T714" s="40"/>
    </row>
    <row r="715" spans="1:20" ht="15.75">
      <c r="A715" s="13">
        <v>62914</v>
      </c>
      <c r="B715" s="48">
        <f t="shared" si="1"/>
        <v>31</v>
      </c>
      <c r="C715" s="39">
        <v>122.58</v>
      </c>
      <c r="D715" s="39">
        <v>297.94099999999997</v>
      </c>
      <c r="E715" s="45">
        <v>729.47900000000004</v>
      </c>
      <c r="F715" s="39">
        <v>1150</v>
      </c>
      <c r="G715" s="39">
        <v>100</v>
      </c>
      <c r="H715" s="47">
        <v>600</v>
      </c>
      <c r="I715" s="39">
        <v>695</v>
      </c>
      <c r="J715" s="39">
        <v>50</v>
      </c>
      <c r="K715" s="40"/>
      <c r="L715" s="40"/>
      <c r="M715" s="40"/>
      <c r="N715" s="40"/>
      <c r="O715" s="40"/>
      <c r="P715" s="40"/>
      <c r="Q715" s="40"/>
      <c r="R715" s="40"/>
      <c r="S715" s="40"/>
      <c r="T715" s="40"/>
    </row>
    <row r="716" spans="1:20" ht="15.75">
      <c r="A716" s="13">
        <v>62944</v>
      </c>
      <c r="B716" s="48">
        <f t="shared" si="1"/>
        <v>30</v>
      </c>
      <c r="C716" s="39">
        <v>141.29300000000001</v>
      </c>
      <c r="D716" s="39">
        <v>267.99299999999999</v>
      </c>
      <c r="E716" s="45">
        <v>829.71400000000006</v>
      </c>
      <c r="F716" s="39">
        <v>1239</v>
      </c>
      <c r="G716" s="39">
        <v>100</v>
      </c>
      <c r="H716" s="47">
        <v>600</v>
      </c>
      <c r="I716" s="39">
        <v>695</v>
      </c>
      <c r="J716" s="39">
        <v>50</v>
      </c>
      <c r="K716" s="40"/>
      <c r="L716" s="40"/>
      <c r="M716" s="40"/>
      <c r="N716" s="40"/>
      <c r="O716" s="40"/>
      <c r="P716" s="40"/>
      <c r="Q716" s="40"/>
      <c r="R716" s="40"/>
      <c r="S716" s="40"/>
      <c r="T716" s="40"/>
    </row>
    <row r="717" spans="1:20" ht="15.75">
      <c r="A717" s="13">
        <v>62975</v>
      </c>
      <c r="B717" s="48">
        <f t="shared" si="1"/>
        <v>31</v>
      </c>
      <c r="C717" s="39">
        <v>194.20500000000001</v>
      </c>
      <c r="D717" s="39">
        <v>267.46600000000001</v>
      </c>
      <c r="E717" s="45">
        <v>812.32899999999995</v>
      </c>
      <c r="F717" s="39">
        <v>1274</v>
      </c>
      <c r="G717" s="39">
        <v>75</v>
      </c>
      <c r="H717" s="47">
        <v>600</v>
      </c>
      <c r="I717" s="39">
        <v>695</v>
      </c>
      <c r="J717" s="39">
        <v>50</v>
      </c>
      <c r="K717" s="40"/>
      <c r="L717" s="40"/>
      <c r="M717" s="40"/>
      <c r="N717" s="40"/>
      <c r="O717" s="40"/>
      <c r="P717" s="40"/>
      <c r="Q717" s="40"/>
      <c r="R717" s="40"/>
      <c r="S717" s="40"/>
      <c r="T717" s="40"/>
    </row>
    <row r="718" spans="1:20" ht="15.75">
      <c r="A718" s="13">
        <v>63005</v>
      </c>
      <c r="B718" s="48">
        <f t="shared" si="1"/>
        <v>30</v>
      </c>
      <c r="C718" s="39">
        <v>194.20500000000001</v>
      </c>
      <c r="D718" s="39">
        <v>267.46600000000001</v>
      </c>
      <c r="E718" s="45">
        <v>812.32899999999995</v>
      </c>
      <c r="F718" s="39">
        <v>1274</v>
      </c>
      <c r="G718" s="39">
        <v>50</v>
      </c>
      <c r="H718" s="47">
        <v>600</v>
      </c>
      <c r="I718" s="39">
        <v>695</v>
      </c>
      <c r="J718" s="39">
        <v>50</v>
      </c>
      <c r="K718" s="40"/>
      <c r="L718" s="40"/>
      <c r="M718" s="40"/>
      <c r="N718" s="40"/>
      <c r="O718" s="40"/>
      <c r="P718" s="40"/>
      <c r="Q718" s="40"/>
      <c r="R718" s="40"/>
      <c r="S718" s="40"/>
      <c r="T718" s="40"/>
    </row>
    <row r="719" spans="1:20" ht="15.75">
      <c r="A719" s="13">
        <v>63036</v>
      </c>
      <c r="B719" s="48">
        <f t="shared" si="1"/>
        <v>31</v>
      </c>
      <c r="C719" s="39">
        <v>194.20500000000001</v>
      </c>
      <c r="D719" s="39">
        <v>267.46600000000001</v>
      </c>
      <c r="E719" s="45">
        <v>812.32899999999995</v>
      </c>
      <c r="F719" s="39">
        <v>1274</v>
      </c>
      <c r="G719" s="39">
        <v>50</v>
      </c>
      <c r="H719" s="47">
        <v>600</v>
      </c>
      <c r="I719" s="39">
        <v>695</v>
      </c>
      <c r="J719" s="39">
        <v>0</v>
      </c>
      <c r="K719" s="40"/>
      <c r="L719" s="40"/>
      <c r="M719" s="40"/>
      <c r="N719" s="40"/>
      <c r="O719" s="40"/>
      <c r="P719" s="40"/>
      <c r="Q719" s="40"/>
      <c r="R719" s="40"/>
      <c r="S719" s="40"/>
      <c r="T719" s="40"/>
    </row>
    <row r="720" spans="1:20" ht="15.75">
      <c r="A720" s="13">
        <v>63067</v>
      </c>
      <c r="B720" s="48">
        <f t="shared" si="1"/>
        <v>31</v>
      </c>
      <c r="C720" s="39">
        <v>194.20500000000001</v>
      </c>
      <c r="D720" s="39">
        <v>267.46600000000001</v>
      </c>
      <c r="E720" s="45">
        <v>812.32899999999995</v>
      </c>
      <c r="F720" s="39">
        <v>1274</v>
      </c>
      <c r="G720" s="39">
        <v>50</v>
      </c>
      <c r="H720" s="47">
        <v>600</v>
      </c>
      <c r="I720" s="39">
        <v>695</v>
      </c>
      <c r="J720" s="39">
        <v>0</v>
      </c>
      <c r="K720" s="40"/>
      <c r="L720" s="40"/>
      <c r="M720" s="40"/>
      <c r="N720" s="40"/>
      <c r="O720" s="40"/>
      <c r="P720" s="40"/>
      <c r="Q720" s="40"/>
      <c r="R720" s="40"/>
      <c r="S720" s="40"/>
      <c r="T720" s="40"/>
    </row>
    <row r="721" spans="1:20" ht="15.75">
      <c r="A721" s="13">
        <v>63097</v>
      </c>
      <c r="B721" s="48">
        <f t="shared" ref="B721:B784" si="2">EOMONTH(A721,0)-EOMONTH(A721,-1)</f>
        <v>30</v>
      </c>
      <c r="C721" s="39">
        <v>194.20500000000001</v>
      </c>
      <c r="D721" s="39">
        <v>267.46600000000001</v>
      </c>
      <c r="E721" s="45">
        <v>812.32899999999995</v>
      </c>
      <c r="F721" s="39">
        <v>1274</v>
      </c>
      <c r="G721" s="39">
        <v>50</v>
      </c>
      <c r="H721" s="47">
        <v>600</v>
      </c>
      <c r="I721" s="39">
        <v>695</v>
      </c>
      <c r="J721" s="39">
        <v>0</v>
      </c>
      <c r="K721" s="40"/>
      <c r="L721" s="40"/>
      <c r="M721" s="40"/>
      <c r="N721" s="40"/>
      <c r="O721" s="40"/>
      <c r="P721" s="40"/>
      <c r="Q721" s="40"/>
      <c r="R721" s="40"/>
      <c r="S721" s="40"/>
      <c r="T721" s="40"/>
    </row>
    <row r="722" spans="1:20" ht="15.75">
      <c r="A722" s="13">
        <v>63128</v>
      </c>
      <c r="B722" s="48">
        <f t="shared" si="2"/>
        <v>31</v>
      </c>
      <c r="C722" s="39">
        <v>131.881</v>
      </c>
      <c r="D722" s="39">
        <v>277.16699999999997</v>
      </c>
      <c r="E722" s="45">
        <v>829.952</v>
      </c>
      <c r="F722" s="39">
        <v>1239</v>
      </c>
      <c r="G722" s="39">
        <v>75</v>
      </c>
      <c r="H722" s="47">
        <v>600</v>
      </c>
      <c r="I722" s="39">
        <v>695</v>
      </c>
      <c r="J722" s="39">
        <v>0</v>
      </c>
      <c r="K722" s="40"/>
      <c r="L722" s="40"/>
      <c r="M722" s="40"/>
      <c r="N722" s="40"/>
      <c r="O722" s="40"/>
      <c r="P722" s="40"/>
      <c r="Q722" s="40"/>
      <c r="R722" s="40"/>
      <c r="S722" s="40"/>
      <c r="T722" s="40"/>
    </row>
    <row r="723" spans="1:20" ht="15.75">
      <c r="A723" s="13">
        <v>63158</v>
      </c>
      <c r="B723" s="48">
        <f t="shared" si="2"/>
        <v>30</v>
      </c>
      <c r="C723" s="39">
        <v>122.58</v>
      </c>
      <c r="D723" s="39">
        <v>297.94099999999997</v>
      </c>
      <c r="E723" s="45">
        <v>729.47900000000004</v>
      </c>
      <c r="F723" s="39">
        <v>1150</v>
      </c>
      <c r="G723" s="39">
        <v>100</v>
      </c>
      <c r="H723" s="47">
        <v>600</v>
      </c>
      <c r="I723" s="39">
        <v>695</v>
      </c>
      <c r="J723" s="39">
        <v>50</v>
      </c>
      <c r="K723" s="40"/>
      <c r="L723" s="40"/>
      <c r="M723" s="40"/>
      <c r="N723" s="40"/>
      <c r="O723" s="40"/>
      <c r="P723" s="40"/>
      <c r="Q723" s="40"/>
      <c r="R723" s="40"/>
      <c r="S723" s="40"/>
      <c r="T723" s="40"/>
    </row>
    <row r="724" spans="1:20" ht="15.75">
      <c r="A724" s="13">
        <v>63189</v>
      </c>
      <c r="B724" s="48">
        <f t="shared" si="2"/>
        <v>31</v>
      </c>
      <c r="C724" s="39">
        <v>122.58</v>
      </c>
      <c r="D724" s="39">
        <v>297.94099999999997</v>
      </c>
      <c r="E724" s="45">
        <v>729.47900000000004</v>
      </c>
      <c r="F724" s="39">
        <v>1150</v>
      </c>
      <c r="G724" s="39">
        <v>100</v>
      </c>
      <c r="H724" s="47">
        <v>600</v>
      </c>
      <c r="I724" s="39">
        <v>695</v>
      </c>
      <c r="J724" s="39">
        <v>50</v>
      </c>
      <c r="K724" s="40"/>
      <c r="L724" s="40"/>
      <c r="M724" s="40"/>
      <c r="N724" s="40"/>
      <c r="O724" s="40"/>
      <c r="P724" s="40"/>
      <c r="Q724" s="40"/>
      <c r="R724" s="40"/>
      <c r="S724" s="40"/>
      <c r="T724" s="40"/>
    </row>
    <row r="725" spans="1:20" ht="15.75">
      <c r="A725" s="13">
        <v>63220</v>
      </c>
      <c r="B725" s="48">
        <f t="shared" si="2"/>
        <v>31</v>
      </c>
      <c r="C725" s="39">
        <v>122.58</v>
      </c>
      <c r="D725" s="39">
        <v>297.94099999999997</v>
      </c>
      <c r="E725" s="45">
        <v>729.47900000000004</v>
      </c>
      <c r="F725" s="39">
        <v>1150</v>
      </c>
      <c r="G725" s="39">
        <v>100</v>
      </c>
      <c r="H725" s="47">
        <v>600</v>
      </c>
      <c r="I725" s="39">
        <v>695</v>
      </c>
      <c r="J725" s="39">
        <v>50</v>
      </c>
      <c r="K725" s="40"/>
      <c r="L725" s="40"/>
      <c r="M725" s="40"/>
      <c r="N725" s="40"/>
      <c r="O725" s="40"/>
      <c r="P725" s="40"/>
      <c r="Q725" s="40"/>
      <c r="R725" s="40"/>
      <c r="S725" s="40"/>
      <c r="T725" s="40"/>
    </row>
    <row r="726" spans="1:20" ht="15.75">
      <c r="A726" s="13">
        <v>63248</v>
      </c>
      <c r="B726" s="48">
        <f t="shared" si="2"/>
        <v>28</v>
      </c>
      <c r="C726" s="39">
        <v>122.58</v>
      </c>
      <c r="D726" s="39">
        <v>297.94099999999997</v>
      </c>
      <c r="E726" s="45">
        <v>729.47900000000004</v>
      </c>
      <c r="F726" s="39">
        <v>1150</v>
      </c>
      <c r="G726" s="39">
        <v>100</v>
      </c>
      <c r="H726" s="47">
        <v>600</v>
      </c>
      <c r="I726" s="39">
        <v>695</v>
      </c>
      <c r="J726" s="39">
        <v>50</v>
      </c>
      <c r="K726" s="40"/>
      <c r="L726" s="40"/>
      <c r="M726" s="40"/>
      <c r="N726" s="40"/>
      <c r="O726" s="40"/>
      <c r="P726" s="40"/>
      <c r="Q726" s="40"/>
      <c r="R726" s="40"/>
      <c r="S726" s="40"/>
      <c r="T726" s="40"/>
    </row>
    <row r="727" spans="1:20" ht="15.75">
      <c r="A727" s="13">
        <v>63279</v>
      </c>
      <c r="B727" s="48">
        <f t="shared" si="2"/>
        <v>31</v>
      </c>
      <c r="C727" s="39">
        <v>122.58</v>
      </c>
      <c r="D727" s="39">
        <v>297.94099999999997</v>
      </c>
      <c r="E727" s="45">
        <v>729.47900000000004</v>
      </c>
      <c r="F727" s="39">
        <v>1150</v>
      </c>
      <c r="G727" s="39">
        <v>100</v>
      </c>
      <c r="H727" s="47">
        <v>600</v>
      </c>
      <c r="I727" s="39">
        <v>695</v>
      </c>
      <c r="J727" s="39">
        <v>50</v>
      </c>
      <c r="K727" s="40"/>
      <c r="L727" s="40"/>
      <c r="M727" s="40"/>
      <c r="N727" s="40"/>
      <c r="O727" s="40"/>
      <c r="P727" s="40"/>
      <c r="Q727" s="40"/>
      <c r="R727" s="40"/>
      <c r="S727" s="40"/>
      <c r="T727" s="40"/>
    </row>
    <row r="728" spans="1:20" ht="15.75">
      <c r="A728" s="13">
        <v>63309</v>
      </c>
      <c r="B728" s="48">
        <f t="shared" si="2"/>
        <v>30</v>
      </c>
      <c r="C728" s="39">
        <v>141.29300000000001</v>
      </c>
      <c r="D728" s="39">
        <v>267.99299999999999</v>
      </c>
      <c r="E728" s="45">
        <v>829.71400000000006</v>
      </c>
      <c r="F728" s="39">
        <v>1239</v>
      </c>
      <c r="G728" s="39">
        <v>100</v>
      </c>
      <c r="H728" s="47">
        <v>600</v>
      </c>
      <c r="I728" s="39">
        <v>695</v>
      </c>
      <c r="J728" s="39">
        <v>50</v>
      </c>
      <c r="K728" s="40"/>
      <c r="L728" s="40"/>
      <c r="M728" s="40"/>
      <c r="N728" s="40"/>
      <c r="O728" s="40"/>
      <c r="P728" s="40"/>
      <c r="Q728" s="40"/>
      <c r="R728" s="40"/>
      <c r="S728" s="40"/>
      <c r="T728" s="40"/>
    </row>
    <row r="729" spans="1:20" ht="15.75">
      <c r="A729" s="13">
        <v>63340</v>
      </c>
      <c r="B729" s="48">
        <f t="shared" si="2"/>
        <v>31</v>
      </c>
      <c r="C729" s="39">
        <v>194.20500000000001</v>
      </c>
      <c r="D729" s="39">
        <v>267.46600000000001</v>
      </c>
      <c r="E729" s="45">
        <v>812.32899999999995</v>
      </c>
      <c r="F729" s="39">
        <v>1274</v>
      </c>
      <c r="G729" s="39">
        <v>75</v>
      </c>
      <c r="H729" s="47">
        <v>600</v>
      </c>
      <c r="I729" s="39">
        <v>695</v>
      </c>
      <c r="J729" s="39">
        <v>50</v>
      </c>
      <c r="K729" s="40"/>
      <c r="L729" s="40"/>
      <c r="M729" s="40"/>
      <c r="N729" s="40"/>
      <c r="O729" s="40"/>
      <c r="P729" s="40"/>
      <c r="Q729" s="40"/>
      <c r="R729" s="40"/>
      <c r="S729" s="40"/>
      <c r="T729" s="40"/>
    </row>
    <row r="730" spans="1:20" ht="15.75">
      <c r="A730" s="13">
        <v>63370</v>
      </c>
      <c r="B730" s="48">
        <f t="shared" si="2"/>
        <v>30</v>
      </c>
      <c r="C730" s="39">
        <v>194.20500000000001</v>
      </c>
      <c r="D730" s="39">
        <v>267.46600000000001</v>
      </c>
      <c r="E730" s="45">
        <v>812.32899999999995</v>
      </c>
      <c r="F730" s="39">
        <v>1274</v>
      </c>
      <c r="G730" s="39">
        <v>50</v>
      </c>
      <c r="H730" s="47">
        <v>600</v>
      </c>
      <c r="I730" s="39">
        <v>695</v>
      </c>
      <c r="J730" s="39">
        <v>50</v>
      </c>
      <c r="K730" s="40"/>
      <c r="L730" s="40"/>
      <c r="M730" s="40"/>
      <c r="N730" s="40"/>
      <c r="O730" s="40"/>
      <c r="P730" s="40"/>
      <c r="Q730" s="40"/>
      <c r="R730" s="40"/>
      <c r="S730" s="40"/>
      <c r="T730" s="40"/>
    </row>
    <row r="731" spans="1:20" ht="15.75">
      <c r="A731" s="13">
        <v>63401</v>
      </c>
      <c r="B731" s="48">
        <f t="shared" si="2"/>
        <v>31</v>
      </c>
      <c r="C731" s="39">
        <v>194.20500000000001</v>
      </c>
      <c r="D731" s="39">
        <v>267.46600000000001</v>
      </c>
      <c r="E731" s="45">
        <v>812.32899999999995</v>
      </c>
      <c r="F731" s="39">
        <v>1274</v>
      </c>
      <c r="G731" s="39">
        <v>50</v>
      </c>
      <c r="H731" s="47">
        <v>600</v>
      </c>
      <c r="I731" s="39">
        <v>695</v>
      </c>
      <c r="J731" s="39">
        <v>0</v>
      </c>
      <c r="K731" s="40"/>
      <c r="L731" s="40"/>
      <c r="M731" s="40"/>
      <c r="N731" s="40"/>
      <c r="O731" s="40"/>
      <c r="P731" s="40"/>
      <c r="Q731" s="40"/>
      <c r="R731" s="40"/>
      <c r="S731" s="40"/>
      <c r="T731" s="40"/>
    </row>
    <row r="732" spans="1:20" ht="15.75">
      <c r="A732" s="13">
        <v>63432</v>
      </c>
      <c r="B732" s="48">
        <f t="shared" si="2"/>
        <v>31</v>
      </c>
      <c r="C732" s="39">
        <v>194.20500000000001</v>
      </c>
      <c r="D732" s="39">
        <v>267.46600000000001</v>
      </c>
      <c r="E732" s="45">
        <v>812.32899999999995</v>
      </c>
      <c r="F732" s="39">
        <v>1274</v>
      </c>
      <c r="G732" s="39">
        <v>50</v>
      </c>
      <c r="H732" s="47">
        <v>600</v>
      </c>
      <c r="I732" s="39">
        <v>695</v>
      </c>
      <c r="J732" s="39">
        <v>0</v>
      </c>
      <c r="K732" s="40"/>
      <c r="L732" s="40"/>
      <c r="M732" s="40"/>
      <c r="N732" s="40"/>
      <c r="O732" s="40"/>
      <c r="P732" s="40"/>
      <c r="Q732" s="40"/>
      <c r="R732" s="40"/>
      <c r="S732" s="40"/>
      <c r="T732" s="40"/>
    </row>
    <row r="733" spans="1:20" ht="15.75">
      <c r="A733" s="13">
        <v>63462</v>
      </c>
      <c r="B733" s="48">
        <f t="shared" si="2"/>
        <v>30</v>
      </c>
      <c r="C733" s="39">
        <v>194.20500000000001</v>
      </c>
      <c r="D733" s="39">
        <v>267.46600000000001</v>
      </c>
      <c r="E733" s="45">
        <v>812.32899999999995</v>
      </c>
      <c r="F733" s="39">
        <v>1274</v>
      </c>
      <c r="G733" s="39">
        <v>50</v>
      </c>
      <c r="H733" s="47">
        <v>600</v>
      </c>
      <c r="I733" s="39">
        <v>695</v>
      </c>
      <c r="J733" s="39">
        <v>0</v>
      </c>
      <c r="K733" s="40"/>
      <c r="L733" s="40"/>
      <c r="M733" s="40"/>
      <c r="N733" s="40"/>
      <c r="O733" s="40"/>
      <c r="P733" s="40"/>
      <c r="Q733" s="40"/>
      <c r="R733" s="40"/>
      <c r="S733" s="40"/>
      <c r="T733" s="40"/>
    </row>
    <row r="734" spans="1:20" ht="15.75">
      <c r="A734" s="13">
        <v>63493</v>
      </c>
      <c r="B734" s="48">
        <f t="shared" si="2"/>
        <v>31</v>
      </c>
      <c r="C734" s="39">
        <v>131.881</v>
      </c>
      <c r="D734" s="39">
        <v>277.16699999999997</v>
      </c>
      <c r="E734" s="45">
        <v>829.952</v>
      </c>
      <c r="F734" s="39">
        <v>1239</v>
      </c>
      <c r="G734" s="39">
        <v>75</v>
      </c>
      <c r="H734" s="47">
        <v>600</v>
      </c>
      <c r="I734" s="39">
        <v>695</v>
      </c>
      <c r="J734" s="39">
        <v>0</v>
      </c>
      <c r="K734" s="40"/>
      <c r="L734" s="40"/>
      <c r="M734" s="40"/>
      <c r="N734" s="40"/>
      <c r="O734" s="40"/>
      <c r="P734" s="40"/>
      <c r="Q734" s="40"/>
      <c r="R734" s="40"/>
      <c r="S734" s="40"/>
      <c r="T734" s="40"/>
    </row>
    <row r="735" spans="1:20" ht="15.75">
      <c r="A735" s="13">
        <v>63523</v>
      </c>
      <c r="B735" s="48">
        <f t="shared" si="2"/>
        <v>30</v>
      </c>
      <c r="C735" s="39">
        <v>122.58</v>
      </c>
      <c r="D735" s="39">
        <v>297.94099999999997</v>
      </c>
      <c r="E735" s="45">
        <v>729.47900000000004</v>
      </c>
      <c r="F735" s="39">
        <v>1150</v>
      </c>
      <c r="G735" s="39">
        <v>100</v>
      </c>
      <c r="H735" s="47">
        <v>600</v>
      </c>
      <c r="I735" s="39">
        <v>695</v>
      </c>
      <c r="J735" s="39">
        <v>50</v>
      </c>
      <c r="K735" s="40"/>
      <c r="L735" s="40"/>
      <c r="M735" s="40"/>
      <c r="N735" s="40"/>
      <c r="O735" s="40"/>
      <c r="P735" s="40"/>
      <c r="Q735" s="40"/>
      <c r="R735" s="40"/>
      <c r="S735" s="40"/>
      <c r="T735" s="40"/>
    </row>
    <row r="736" spans="1:20" ht="15.75">
      <c r="A736" s="13">
        <v>63554</v>
      </c>
      <c r="B736" s="48">
        <f t="shared" si="2"/>
        <v>31</v>
      </c>
      <c r="C736" s="39">
        <v>122.58</v>
      </c>
      <c r="D736" s="39">
        <v>297.94099999999997</v>
      </c>
      <c r="E736" s="45">
        <v>729.47900000000004</v>
      </c>
      <c r="F736" s="39">
        <v>1150</v>
      </c>
      <c r="G736" s="39">
        <v>100</v>
      </c>
      <c r="H736" s="47">
        <v>600</v>
      </c>
      <c r="I736" s="39">
        <v>695</v>
      </c>
      <c r="J736" s="39">
        <v>50</v>
      </c>
      <c r="K736" s="40"/>
      <c r="L736" s="40"/>
      <c r="M736" s="40"/>
      <c r="N736" s="40"/>
      <c r="O736" s="40"/>
      <c r="P736" s="40"/>
      <c r="Q736" s="40"/>
      <c r="R736" s="40"/>
      <c r="S736" s="40"/>
      <c r="T736" s="40"/>
    </row>
    <row r="737" spans="1:20" ht="15.75">
      <c r="A737" s="13">
        <v>63585</v>
      </c>
      <c r="B737" s="48">
        <f t="shared" si="2"/>
        <v>31</v>
      </c>
      <c r="C737" s="39">
        <v>122.58</v>
      </c>
      <c r="D737" s="39">
        <v>297.94099999999997</v>
      </c>
      <c r="E737" s="45">
        <v>729.47900000000004</v>
      </c>
      <c r="F737" s="39">
        <v>1150</v>
      </c>
      <c r="G737" s="39">
        <v>100</v>
      </c>
      <c r="H737" s="47">
        <v>600</v>
      </c>
      <c r="I737" s="39">
        <v>695</v>
      </c>
      <c r="J737" s="39">
        <v>50</v>
      </c>
      <c r="K737" s="40"/>
      <c r="L737" s="40"/>
      <c r="M737" s="40"/>
      <c r="N737" s="40"/>
      <c r="O737" s="40"/>
      <c r="P737" s="40"/>
      <c r="Q737" s="40"/>
      <c r="R737" s="40"/>
      <c r="S737" s="40"/>
      <c r="T737" s="40"/>
    </row>
    <row r="738" spans="1:20" ht="15.75">
      <c r="A738" s="13">
        <v>63613</v>
      </c>
      <c r="B738" s="48">
        <f t="shared" si="2"/>
        <v>28</v>
      </c>
      <c r="C738" s="39">
        <v>122.58</v>
      </c>
      <c r="D738" s="39">
        <v>297.94099999999997</v>
      </c>
      <c r="E738" s="45">
        <v>729.47900000000004</v>
      </c>
      <c r="F738" s="39">
        <v>1150</v>
      </c>
      <c r="G738" s="39">
        <v>100</v>
      </c>
      <c r="H738" s="47">
        <v>600</v>
      </c>
      <c r="I738" s="39">
        <v>695</v>
      </c>
      <c r="J738" s="39">
        <v>50</v>
      </c>
      <c r="K738" s="40"/>
      <c r="L738" s="40"/>
      <c r="M738" s="40"/>
      <c r="N738" s="40"/>
      <c r="O738" s="40"/>
      <c r="P738" s="40"/>
      <c r="Q738" s="40"/>
      <c r="R738" s="40"/>
      <c r="S738" s="40"/>
      <c r="T738" s="40"/>
    </row>
    <row r="739" spans="1:20" ht="15.75">
      <c r="A739" s="13">
        <v>63644</v>
      </c>
      <c r="B739" s="48">
        <f t="shared" si="2"/>
        <v>31</v>
      </c>
      <c r="C739" s="39">
        <v>122.58</v>
      </c>
      <c r="D739" s="39">
        <v>297.94099999999997</v>
      </c>
      <c r="E739" s="45">
        <v>729.47900000000004</v>
      </c>
      <c r="F739" s="39">
        <v>1150</v>
      </c>
      <c r="G739" s="39">
        <v>100</v>
      </c>
      <c r="H739" s="47">
        <v>600</v>
      </c>
      <c r="I739" s="39">
        <v>695</v>
      </c>
      <c r="J739" s="39">
        <v>50</v>
      </c>
      <c r="K739" s="40"/>
      <c r="L739" s="40"/>
      <c r="M739" s="40"/>
      <c r="N739" s="40"/>
      <c r="O739" s="40"/>
      <c r="P739" s="40"/>
      <c r="Q739" s="40"/>
      <c r="R739" s="40"/>
      <c r="S739" s="40"/>
      <c r="T739" s="40"/>
    </row>
    <row r="740" spans="1:20" ht="15.75">
      <c r="A740" s="13">
        <v>63674</v>
      </c>
      <c r="B740" s="48">
        <f t="shared" si="2"/>
        <v>30</v>
      </c>
      <c r="C740" s="39">
        <v>141.29300000000001</v>
      </c>
      <c r="D740" s="39">
        <v>267.99299999999999</v>
      </c>
      <c r="E740" s="45">
        <v>829.71400000000006</v>
      </c>
      <c r="F740" s="39">
        <v>1239</v>
      </c>
      <c r="G740" s="39">
        <v>100</v>
      </c>
      <c r="H740" s="47">
        <v>600</v>
      </c>
      <c r="I740" s="39">
        <v>695</v>
      </c>
      <c r="J740" s="39">
        <v>50</v>
      </c>
      <c r="K740" s="40"/>
      <c r="L740" s="40"/>
      <c r="M740" s="40"/>
      <c r="N740" s="40"/>
      <c r="O740" s="40"/>
      <c r="P740" s="40"/>
      <c r="Q740" s="40"/>
      <c r="R740" s="40"/>
      <c r="S740" s="40"/>
      <c r="T740" s="40"/>
    </row>
    <row r="741" spans="1:20" ht="15.75">
      <c r="A741" s="13">
        <v>63705</v>
      </c>
      <c r="B741" s="48">
        <f t="shared" si="2"/>
        <v>31</v>
      </c>
      <c r="C741" s="39">
        <v>194.20500000000001</v>
      </c>
      <c r="D741" s="39">
        <v>267.46600000000001</v>
      </c>
      <c r="E741" s="45">
        <v>812.32899999999995</v>
      </c>
      <c r="F741" s="39">
        <v>1274</v>
      </c>
      <c r="G741" s="39">
        <v>75</v>
      </c>
      <c r="H741" s="47">
        <v>600</v>
      </c>
      <c r="I741" s="39">
        <v>695</v>
      </c>
      <c r="J741" s="39">
        <v>50</v>
      </c>
      <c r="K741" s="40"/>
      <c r="L741" s="40"/>
      <c r="M741" s="40"/>
      <c r="N741" s="40"/>
      <c r="O741" s="40"/>
      <c r="P741" s="40"/>
      <c r="Q741" s="40"/>
      <c r="R741" s="40"/>
      <c r="S741" s="40"/>
      <c r="T741" s="40"/>
    </row>
    <row r="742" spans="1:20" ht="15.75">
      <c r="A742" s="13">
        <v>63735</v>
      </c>
      <c r="B742" s="48">
        <f t="shared" si="2"/>
        <v>30</v>
      </c>
      <c r="C742" s="39">
        <v>194.20500000000001</v>
      </c>
      <c r="D742" s="39">
        <v>267.46600000000001</v>
      </c>
      <c r="E742" s="45">
        <v>812.32899999999995</v>
      </c>
      <c r="F742" s="39">
        <v>1274</v>
      </c>
      <c r="G742" s="39">
        <v>50</v>
      </c>
      <c r="H742" s="47">
        <v>600</v>
      </c>
      <c r="I742" s="39">
        <v>695</v>
      </c>
      <c r="J742" s="39">
        <v>50</v>
      </c>
      <c r="K742" s="40"/>
      <c r="L742" s="40"/>
      <c r="M742" s="40"/>
      <c r="N742" s="40"/>
      <c r="O742" s="40"/>
      <c r="P742" s="40"/>
      <c r="Q742" s="40"/>
      <c r="R742" s="40"/>
      <c r="S742" s="40"/>
      <c r="T742" s="40"/>
    </row>
    <row r="743" spans="1:20" ht="15.75">
      <c r="A743" s="13">
        <v>63766</v>
      </c>
      <c r="B743" s="48">
        <f t="shared" si="2"/>
        <v>31</v>
      </c>
      <c r="C743" s="39">
        <v>194.20500000000001</v>
      </c>
      <c r="D743" s="39">
        <v>267.46600000000001</v>
      </c>
      <c r="E743" s="45">
        <v>812.32899999999995</v>
      </c>
      <c r="F743" s="39">
        <v>1274</v>
      </c>
      <c r="G743" s="39">
        <v>50</v>
      </c>
      <c r="H743" s="47">
        <v>600</v>
      </c>
      <c r="I743" s="39">
        <v>695</v>
      </c>
      <c r="J743" s="39">
        <v>0</v>
      </c>
      <c r="K743" s="40"/>
      <c r="L743" s="40"/>
      <c r="M743" s="40"/>
      <c r="N743" s="40"/>
      <c r="O743" s="40"/>
      <c r="P743" s="40"/>
      <c r="Q743" s="40"/>
      <c r="R743" s="40"/>
      <c r="S743" s="40"/>
      <c r="T743" s="40"/>
    </row>
    <row r="744" spans="1:20" ht="15.75">
      <c r="A744" s="13">
        <v>63797</v>
      </c>
      <c r="B744" s="48">
        <f t="shared" si="2"/>
        <v>31</v>
      </c>
      <c r="C744" s="39">
        <v>194.20500000000001</v>
      </c>
      <c r="D744" s="39">
        <v>267.46600000000001</v>
      </c>
      <c r="E744" s="45">
        <v>812.32899999999995</v>
      </c>
      <c r="F744" s="39">
        <v>1274</v>
      </c>
      <c r="G744" s="39">
        <v>50</v>
      </c>
      <c r="H744" s="47">
        <v>600</v>
      </c>
      <c r="I744" s="39">
        <v>695</v>
      </c>
      <c r="J744" s="39">
        <v>0</v>
      </c>
      <c r="K744" s="40"/>
      <c r="L744" s="40"/>
      <c r="M744" s="40"/>
      <c r="N744" s="40"/>
      <c r="O744" s="40"/>
      <c r="P744" s="40"/>
      <c r="Q744" s="40"/>
      <c r="R744" s="40"/>
      <c r="S744" s="40"/>
      <c r="T744" s="40"/>
    </row>
    <row r="745" spans="1:20" ht="15.75">
      <c r="A745" s="13">
        <v>63827</v>
      </c>
      <c r="B745" s="48">
        <f t="shared" si="2"/>
        <v>30</v>
      </c>
      <c r="C745" s="39">
        <v>194.20500000000001</v>
      </c>
      <c r="D745" s="39">
        <v>267.46600000000001</v>
      </c>
      <c r="E745" s="45">
        <v>812.32899999999995</v>
      </c>
      <c r="F745" s="39">
        <v>1274</v>
      </c>
      <c r="G745" s="39">
        <v>50</v>
      </c>
      <c r="H745" s="47">
        <v>600</v>
      </c>
      <c r="I745" s="39">
        <v>695</v>
      </c>
      <c r="J745" s="39">
        <v>0</v>
      </c>
      <c r="K745" s="40"/>
      <c r="L745" s="40"/>
      <c r="M745" s="40"/>
      <c r="N745" s="40"/>
      <c r="O745" s="40"/>
      <c r="P745" s="40"/>
      <c r="Q745" s="40"/>
      <c r="R745" s="40"/>
      <c r="S745" s="40"/>
      <c r="T745" s="40"/>
    </row>
    <row r="746" spans="1:20" ht="15.75">
      <c r="A746" s="13">
        <v>63858</v>
      </c>
      <c r="B746" s="48">
        <f t="shared" si="2"/>
        <v>31</v>
      </c>
      <c r="C746" s="39">
        <v>131.881</v>
      </c>
      <c r="D746" s="39">
        <v>277.16699999999997</v>
      </c>
      <c r="E746" s="45">
        <v>829.952</v>
      </c>
      <c r="F746" s="39">
        <v>1239</v>
      </c>
      <c r="G746" s="39">
        <v>75</v>
      </c>
      <c r="H746" s="47">
        <v>600</v>
      </c>
      <c r="I746" s="39">
        <v>695</v>
      </c>
      <c r="J746" s="39">
        <v>0</v>
      </c>
      <c r="K746" s="40"/>
      <c r="L746" s="40"/>
      <c r="M746" s="40"/>
      <c r="N746" s="40"/>
      <c r="O746" s="40"/>
      <c r="P746" s="40"/>
      <c r="Q746" s="40"/>
      <c r="R746" s="40"/>
      <c r="S746" s="40"/>
      <c r="T746" s="40"/>
    </row>
    <row r="747" spans="1:20" ht="15.75">
      <c r="A747" s="13">
        <v>63888</v>
      </c>
      <c r="B747" s="48">
        <f t="shared" si="2"/>
        <v>30</v>
      </c>
      <c r="C747" s="39">
        <v>122.58</v>
      </c>
      <c r="D747" s="39">
        <v>297.94099999999997</v>
      </c>
      <c r="E747" s="45">
        <v>729.47900000000004</v>
      </c>
      <c r="F747" s="39">
        <v>1150</v>
      </c>
      <c r="G747" s="39">
        <v>100</v>
      </c>
      <c r="H747" s="47">
        <v>600</v>
      </c>
      <c r="I747" s="39">
        <v>695</v>
      </c>
      <c r="J747" s="39">
        <v>50</v>
      </c>
      <c r="K747" s="40"/>
      <c r="L747" s="40"/>
      <c r="M747" s="40"/>
      <c r="N747" s="40"/>
      <c r="O747" s="40"/>
      <c r="P747" s="40"/>
      <c r="Q747" s="40"/>
      <c r="R747" s="40"/>
      <c r="S747" s="40"/>
      <c r="T747" s="40"/>
    </row>
    <row r="748" spans="1:20" ht="15.75">
      <c r="A748" s="13">
        <v>63919</v>
      </c>
      <c r="B748" s="48">
        <f t="shared" si="2"/>
        <v>31</v>
      </c>
      <c r="C748" s="39">
        <v>122.58</v>
      </c>
      <c r="D748" s="39">
        <v>297.94099999999997</v>
      </c>
      <c r="E748" s="45">
        <v>729.47900000000004</v>
      </c>
      <c r="F748" s="39">
        <v>1150</v>
      </c>
      <c r="G748" s="39">
        <v>100</v>
      </c>
      <c r="H748" s="47">
        <v>600</v>
      </c>
      <c r="I748" s="39">
        <v>695</v>
      </c>
      <c r="J748" s="39">
        <v>50</v>
      </c>
      <c r="K748" s="40"/>
      <c r="L748" s="40"/>
      <c r="M748" s="40"/>
      <c r="N748" s="40"/>
      <c r="O748" s="40"/>
      <c r="P748" s="40"/>
      <c r="Q748" s="40"/>
      <c r="R748" s="40"/>
      <c r="S748" s="40"/>
      <c r="T748" s="40"/>
    </row>
    <row r="749" spans="1:20" ht="15.75">
      <c r="A749" s="13">
        <v>63950</v>
      </c>
      <c r="B749" s="48">
        <f t="shared" si="2"/>
        <v>31</v>
      </c>
      <c r="C749" s="39">
        <v>122.58</v>
      </c>
      <c r="D749" s="39">
        <v>297.94099999999997</v>
      </c>
      <c r="E749" s="45">
        <v>729.47900000000004</v>
      </c>
      <c r="F749" s="39">
        <v>1150</v>
      </c>
      <c r="G749" s="39">
        <v>100</v>
      </c>
      <c r="H749" s="47">
        <v>600</v>
      </c>
      <c r="I749" s="39">
        <v>695</v>
      </c>
      <c r="J749" s="39">
        <v>50</v>
      </c>
      <c r="K749" s="40"/>
      <c r="L749" s="40"/>
      <c r="M749" s="40"/>
      <c r="N749" s="40"/>
      <c r="O749" s="40"/>
      <c r="P749" s="40"/>
      <c r="Q749" s="40"/>
      <c r="R749" s="40"/>
      <c r="S749" s="40"/>
      <c r="T749" s="40"/>
    </row>
    <row r="750" spans="1:20" ht="15.75">
      <c r="A750" s="13">
        <v>63978</v>
      </c>
      <c r="B750" s="48">
        <f t="shared" si="2"/>
        <v>28</v>
      </c>
      <c r="C750" s="39">
        <v>122.58</v>
      </c>
      <c r="D750" s="39">
        <v>297.94099999999997</v>
      </c>
      <c r="E750" s="45">
        <v>729.47900000000004</v>
      </c>
      <c r="F750" s="39">
        <v>1150</v>
      </c>
      <c r="G750" s="39">
        <v>100</v>
      </c>
      <c r="H750" s="47">
        <v>600</v>
      </c>
      <c r="I750" s="39">
        <v>695</v>
      </c>
      <c r="J750" s="39">
        <v>50</v>
      </c>
      <c r="K750" s="40"/>
      <c r="L750" s="40"/>
      <c r="M750" s="40"/>
      <c r="N750" s="40"/>
      <c r="O750" s="40"/>
      <c r="P750" s="40"/>
      <c r="Q750" s="40"/>
      <c r="R750" s="40"/>
      <c r="S750" s="40"/>
      <c r="T750" s="40"/>
    </row>
    <row r="751" spans="1:20" ht="15.75">
      <c r="A751" s="13">
        <v>64009</v>
      </c>
      <c r="B751" s="48">
        <f t="shared" si="2"/>
        <v>31</v>
      </c>
      <c r="C751" s="39">
        <v>122.58</v>
      </c>
      <c r="D751" s="39">
        <v>297.94099999999997</v>
      </c>
      <c r="E751" s="45">
        <v>729.47900000000004</v>
      </c>
      <c r="F751" s="39">
        <v>1150</v>
      </c>
      <c r="G751" s="39">
        <v>100</v>
      </c>
      <c r="H751" s="47">
        <v>600</v>
      </c>
      <c r="I751" s="39">
        <v>695</v>
      </c>
      <c r="J751" s="39">
        <v>50</v>
      </c>
      <c r="K751" s="40"/>
      <c r="L751" s="40"/>
      <c r="M751" s="40"/>
      <c r="N751" s="40"/>
      <c r="O751" s="40"/>
      <c r="P751" s="40"/>
      <c r="Q751" s="40"/>
      <c r="R751" s="40"/>
      <c r="S751" s="40"/>
      <c r="T751" s="40"/>
    </row>
    <row r="752" spans="1:20" ht="15.75">
      <c r="A752" s="13">
        <v>64039</v>
      </c>
      <c r="B752" s="48">
        <f t="shared" si="2"/>
        <v>30</v>
      </c>
      <c r="C752" s="39">
        <v>141.29300000000001</v>
      </c>
      <c r="D752" s="39">
        <v>267.99299999999999</v>
      </c>
      <c r="E752" s="45">
        <v>829.71400000000006</v>
      </c>
      <c r="F752" s="39">
        <v>1239</v>
      </c>
      <c r="G752" s="39">
        <v>100</v>
      </c>
      <c r="H752" s="47">
        <v>600</v>
      </c>
      <c r="I752" s="39">
        <v>695</v>
      </c>
      <c r="J752" s="39">
        <v>50</v>
      </c>
      <c r="K752" s="40"/>
      <c r="L752" s="40"/>
      <c r="M752" s="40"/>
      <c r="N752" s="40"/>
      <c r="O752" s="40"/>
      <c r="P752" s="40"/>
      <c r="Q752" s="40"/>
      <c r="R752" s="40"/>
      <c r="S752" s="40"/>
      <c r="T752" s="40"/>
    </row>
    <row r="753" spans="1:20" ht="15.75">
      <c r="A753" s="13">
        <v>64070</v>
      </c>
      <c r="B753" s="48">
        <f t="shared" si="2"/>
        <v>31</v>
      </c>
      <c r="C753" s="39">
        <v>194.20500000000001</v>
      </c>
      <c r="D753" s="39">
        <v>267.46600000000001</v>
      </c>
      <c r="E753" s="45">
        <v>812.32899999999995</v>
      </c>
      <c r="F753" s="39">
        <v>1274</v>
      </c>
      <c r="G753" s="39">
        <v>75</v>
      </c>
      <c r="H753" s="47">
        <v>600</v>
      </c>
      <c r="I753" s="39">
        <v>695</v>
      </c>
      <c r="J753" s="39">
        <v>50</v>
      </c>
      <c r="K753" s="40"/>
      <c r="L753" s="40"/>
      <c r="M753" s="40"/>
      <c r="N753" s="40"/>
      <c r="O753" s="40"/>
      <c r="P753" s="40"/>
      <c r="Q753" s="40"/>
      <c r="R753" s="40"/>
      <c r="S753" s="40"/>
      <c r="T753" s="40"/>
    </row>
    <row r="754" spans="1:20" ht="15.75">
      <c r="A754" s="13">
        <v>64100</v>
      </c>
      <c r="B754" s="48">
        <f t="shared" si="2"/>
        <v>30</v>
      </c>
      <c r="C754" s="39">
        <v>194.20500000000001</v>
      </c>
      <c r="D754" s="39">
        <v>267.46600000000001</v>
      </c>
      <c r="E754" s="45">
        <v>812.32899999999995</v>
      </c>
      <c r="F754" s="39">
        <v>1274</v>
      </c>
      <c r="G754" s="39">
        <v>50</v>
      </c>
      <c r="H754" s="47">
        <v>600</v>
      </c>
      <c r="I754" s="39">
        <v>695</v>
      </c>
      <c r="J754" s="39">
        <v>50</v>
      </c>
      <c r="K754" s="40"/>
      <c r="L754" s="40"/>
      <c r="M754" s="40"/>
      <c r="N754" s="40"/>
      <c r="O754" s="40"/>
      <c r="P754" s="40"/>
      <c r="Q754" s="40"/>
      <c r="R754" s="40"/>
      <c r="S754" s="40"/>
      <c r="T754" s="40"/>
    </row>
    <row r="755" spans="1:20" ht="15.75">
      <c r="A755" s="13">
        <v>64131</v>
      </c>
      <c r="B755" s="48">
        <f t="shared" si="2"/>
        <v>31</v>
      </c>
      <c r="C755" s="39">
        <v>194.20500000000001</v>
      </c>
      <c r="D755" s="39">
        <v>267.46600000000001</v>
      </c>
      <c r="E755" s="45">
        <v>812.32899999999995</v>
      </c>
      <c r="F755" s="39">
        <v>1274</v>
      </c>
      <c r="G755" s="39">
        <v>50</v>
      </c>
      <c r="H755" s="47">
        <v>600</v>
      </c>
      <c r="I755" s="39">
        <v>695</v>
      </c>
      <c r="J755" s="39">
        <v>0</v>
      </c>
      <c r="K755" s="40"/>
      <c r="L755" s="40"/>
      <c r="M755" s="40"/>
      <c r="N755" s="40"/>
      <c r="O755" s="40"/>
      <c r="P755" s="40"/>
      <c r="Q755" s="40"/>
      <c r="R755" s="40"/>
      <c r="S755" s="40"/>
      <c r="T755" s="40"/>
    </row>
    <row r="756" spans="1:20" ht="15.75">
      <c r="A756" s="13">
        <v>64162</v>
      </c>
      <c r="B756" s="48">
        <f t="shared" si="2"/>
        <v>31</v>
      </c>
      <c r="C756" s="39">
        <v>194.20500000000001</v>
      </c>
      <c r="D756" s="39">
        <v>267.46600000000001</v>
      </c>
      <c r="E756" s="45">
        <v>812.32899999999995</v>
      </c>
      <c r="F756" s="39">
        <v>1274</v>
      </c>
      <c r="G756" s="39">
        <v>50</v>
      </c>
      <c r="H756" s="47">
        <v>600</v>
      </c>
      <c r="I756" s="39">
        <v>695</v>
      </c>
      <c r="J756" s="39">
        <v>0</v>
      </c>
      <c r="K756" s="40"/>
      <c r="L756" s="40"/>
      <c r="M756" s="40"/>
      <c r="N756" s="40"/>
      <c r="O756" s="40"/>
      <c r="P756" s="40"/>
      <c r="Q756" s="40"/>
      <c r="R756" s="40"/>
      <c r="S756" s="40"/>
      <c r="T756" s="40"/>
    </row>
    <row r="757" spans="1:20" ht="15.75">
      <c r="A757" s="13">
        <v>64192</v>
      </c>
      <c r="B757" s="48">
        <f t="shared" si="2"/>
        <v>30</v>
      </c>
      <c r="C757" s="39">
        <v>194.20500000000001</v>
      </c>
      <c r="D757" s="39">
        <v>267.46600000000001</v>
      </c>
      <c r="E757" s="45">
        <v>812.32899999999995</v>
      </c>
      <c r="F757" s="39">
        <v>1274</v>
      </c>
      <c r="G757" s="39">
        <v>50</v>
      </c>
      <c r="H757" s="47">
        <v>600</v>
      </c>
      <c r="I757" s="39">
        <v>695</v>
      </c>
      <c r="J757" s="39">
        <v>0</v>
      </c>
      <c r="K757" s="40"/>
      <c r="L757" s="40"/>
      <c r="M757" s="40"/>
      <c r="N757" s="40"/>
      <c r="O757" s="40"/>
      <c r="P757" s="40"/>
      <c r="Q757" s="40"/>
      <c r="R757" s="40"/>
      <c r="S757" s="40"/>
      <c r="T757" s="40"/>
    </row>
    <row r="758" spans="1:20" ht="15.75">
      <c r="A758" s="13">
        <v>64223</v>
      </c>
      <c r="B758" s="48">
        <f t="shared" si="2"/>
        <v>31</v>
      </c>
      <c r="C758" s="39">
        <v>131.881</v>
      </c>
      <c r="D758" s="39">
        <v>277.16699999999997</v>
      </c>
      <c r="E758" s="45">
        <v>829.952</v>
      </c>
      <c r="F758" s="39">
        <v>1239</v>
      </c>
      <c r="G758" s="39">
        <v>75</v>
      </c>
      <c r="H758" s="47">
        <v>600</v>
      </c>
      <c r="I758" s="39">
        <v>695</v>
      </c>
      <c r="J758" s="39">
        <v>0</v>
      </c>
      <c r="K758" s="40"/>
      <c r="L758" s="40"/>
      <c r="M758" s="40"/>
      <c r="N758" s="40"/>
      <c r="O758" s="40"/>
      <c r="P758" s="40"/>
      <c r="Q758" s="40"/>
      <c r="R758" s="40"/>
      <c r="S758" s="40"/>
      <c r="T758" s="40"/>
    </row>
    <row r="759" spans="1:20" ht="15.75">
      <c r="A759" s="13">
        <v>64253</v>
      </c>
      <c r="B759" s="48">
        <f t="shared" si="2"/>
        <v>30</v>
      </c>
      <c r="C759" s="39">
        <v>122.58</v>
      </c>
      <c r="D759" s="39">
        <v>297.94099999999997</v>
      </c>
      <c r="E759" s="45">
        <v>729.47900000000004</v>
      </c>
      <c r="F759" s="39">
        <v>1150</v>
      </c>
      <c r="G759" s="39">
        <v>100</v>
      </c>
      <c r="H759" s="47">
        <v>600</v>
      </c>
      <c r="I759" s="39">
        <v>695</v>
      </c>
      <c r="J759" s="39">
        <v>50</v>
      </c>
      <c r="K759" s="40"/>
      <c r="L759" s="40"/>
      <c r="M759" s="40"/>
      <c r="N759" s="40"/>
      <c r="O759" s="40"/>
      <c r="P759" s="40"/>
      <c r="Q759" s="40"/>
      <c r="R759" s="40"/>
      <c r="S759" s="40"/>
      <c r="T759" s="40"/>
    </row>
    <row r="760" spans="1:20" ht="15.75">
      <c r="A760" s="13">
        <v>64284</v>
      </c>
      <c r="B760" s="48">
        <f t="shared" si="2"/>
        <v>31</v>
      </c>
      <c r="C760" s="39">
        <v>122.58</v>
      </c>
      <c r="D760" s="39">
        <v>297.94099999999997</v>
      </c>
      <c r="E760" s="45">
        <v>729.47900000000004</v>
      </c>
      <c r="F760" s="39">
        <v>1150</v>
      </c>
      <c r="G760" s="39">
        <v>100</v>
      </c>
      <c r="H760" s="47">
        <v>600</v>
      </c>
      <c r="I760" s="39">
        <v>695</v>
      </c>
      <c r="J760" s="39">
        <v>50</v>
      </c>
      <c r="K760" s="40"/>
      <c r="L760" s="40"/>
      <c r="M760" s="40"/>
      <c r="N760" s="40"/>
      <c r="O760" s="40"/>
      <c r="P760" s="40"/>
      <c r="Q760" s="40"/>
      <c r="R760" s="40"/>
      <c r="S760" s="40"/>
      <c r="T760" s="40"/>
    </row>
    <row r="761" spans="1:20" ht="15.75">
      <c r="A761" s="13">
        <v>64315</v>
      </c>
      <c r="B761" s="48">
        <f t="shared" si="2"/>
        <v>31</v>
      </c>
      <c r="C761" s="39">
        <v>122.58</v>
      </c>
      <c r="D761" s="39">
        <v>297.94099999999997</v>
      </c>
      <c r="E761" s="45">
        <v>729.47900000000004</v>
      </c>
      <c r="F761" s="39">
        <v>1150</v>
      </c>
      <c r="G761" s="39">
        <v>100</v>
      </c>
      <c r="H761" s="47">
        <v>600</v>
      </c>
      <c r="I761" s="39">
        <v>695</v>
      </c>
      <c r="J761" s="39">
        <v>50</v>
      </c>
      <c r="K761" s="40"/>
      <c r="L761" s="40"/>
      <c r="M761" s="40"/>
      <c r="N761" s="40"/>
      <c r="O761" s="40"/>
      <c r="P761" s="40"/>
      <c r="Q761" s="40"/>
      <c r="R761" s="40"/>
      <c r="S761" s="40"/>
      <c r="T761" s="40"/>
    </row>
    <row r="762" spans="1:20" ht="15.75">
      <c r="A762" s="13">
        <v>64344</v>
      </c>
      <c r="B762" s="48">
        <f t="shared" si="2"/>
        <v>29</v>
      </c>
      <c r="C762" s="39">
        <v>122.58</v>
      </c>
      <c r="D762" s="39">
        <v>297.94099999999997</v>
      </c>
      <c r="E762" s="45">
        <v>729.47900000000004</v>
      </c>
      <c r="F762" s="39">
        <v>1150</v>
      </c>
      <c r="G762" s="39">
        <v>100</v>
      </c>
      <c r="H762" s="47">
        <v>600</v>
      </c>
      <c r="I762" s="39">
        <v>695</v>
      </c>
      <c r="J762" s="39">
        <v>50</v>
      </c>
      <c r="K762" s="40"/>
      <c r="L762" s="40"/>
      <c r="M762" s="40"/>
      <c r="N762" s="40"/>
      <c r="O762" s="40"/>
      <c r="P762" s="40"/>
      <c r="Q762" s="40"/>
      <c r="R762" s="40"/>
      <c r="S762" s="40"/>
      <c r="T762" s="40"/>
    </row>
    <row r="763" spans="1:20" ht="15.75">
      <c r="A763" s="13">
        <v>64375</v>
      </c>
      <c r="B763" s="48">
        <f t="shared" si="2"/>
        <v>31</v>
      </c>
      <c r="C763" s="39">
        <v>122.58</v>
      </c>
      <c r="D763" s="39">
        <v>297.94099999999997</v>
      </c>
      <c r="E763" s="45">
        <v>729.47900000000004</v>
      </c>
      <c r="F763" s="39">
        <v>1150</v>
      </c>
      <c r="G763" s="39">
        <v>100</v>
      </c>
      <c r="H763" s="47">
        <v>600</v>
      </c>
      <c r="I763" s="39">
        <v>695</v>
      </c>
      <c r="J763" s="39">
        <v>50</v>
      </c>
      <c r="K763" s="40"/>
      <c r="L763" s="40"/>
      <c r="M763" s="40"/>
      <c r="N763" s="40"/>
      <c r="O763" s="40"/>
      <c r="P763" s="40"/>
      <c r="Q763" s="40"/>
      <c r="R763" s="40"/>
      <c r="S763" s="40"/>
      <c r="T763" s="40"/>
    </row>
    <row r="764" spans="1:20" ht="15.75">
      <c r="A764" s="13">
        <v>64405</v>
      </c>
      <c r="B764" s="48">
        <f t="shared" si="2"/>
        <v>30</v>
      </c>
      <c r="C764" s="39">
        <v>141.29300000000001</v>
      </c>
      <c r="D764" s="39">
        <v>267.99299999999999</v>
      </c>
      <c r="E764" s="45">
        <v>829.71400000000006</v>
      </c>
      <c r="F764" s="39">
        <v>1239</v>
      </c>
      <c r="G764" s="39">
        <v>100</v>
      </c>
      <c r="H764" s="47">
        <v>600</v>
      </c>
      <c r="I764" s="39">
        <v>695</v>
      </c>
      <c r="J764" s="39">
        <v>50</v>
      </c>
      <c r="K764" s="40"/>
      <c r="L764" s="40"/>
      <c r="M764" s="40"/>
      <c r="N764" s="40"/>
      <c r="O764" s="40"/>
      <c r="P764" s="40"/>
      <c r="Q764" s="40"/>
      <c r="R764" s="40"/>
      <c r="S764" s="40"/>
      <c r="T764" s="40"/>
    </row>
    <row r="765" spans="1:20" ht="15.75">
      <c r="A765" s="13">
        <v>64436</v>
      </c>
      <c r="B765" s="48">
        <f t="shared" si="2"/>
        <v>31</v>
      </c>
      <c r="C765" s="39">
        <v>194.20500000000001</v>
      </c>
      <c r="D765" s="39">
        <v>267.46600000000001</v>
      </c>
      <c r="E765" s="45">
        <v>812.32899999999995</v>
      </c>
      <c r="F765" s="39">
        <v>1274</v>
      </c>
      <c r="G765" s="39">
        <v>75</v>
      </c>
      <c r="H765" s="47">
        <v>600</v>
      </c>
      <c r="I765" s="39">
        <v>695</v>
      </c>
      <c r="J765" s="39">
        <v>50</v>
      </c>
      <c r="K765" s="40"/>
      <c r="L765" s="40"/>
      <c r="M765" s="40"/>
      <c r="N765" s="40"/>
      <c r="O765" s="40"/>
      <c r="P765" s="40"/>
      <c r="Q765" s="40"/>
      <c r="R765" s="40"/>
      <c r="S765" s="40"/>
      <c r="T765" s="40"/>
    </row>
    <row r="766" spans="1:20" ht="15.75">
      <c r="A766" s="13">
        <v>64466</v>
      </c>
      <c r="B766" s="48">
        <f t="shared" si="2"/>
        <v>30</v>
      </c>
      <c r="C766" s="39">
        <v>194.20500000000001</v>
      </c>
      <c r="D766" s="39">
        <v>267.46600000000001</v>
      </c>
      <c r="E766" s="45">
        <v>812.32899999999995</v>
      </c>
      <c r="F766" s="39">
        <v>1274</v>
      </c>
      <c r="G766" s="39">
        <v>50</v>
      </c>
      <c r="H766" s="47">
        <v>600</v>
      </c>
      <c r="I766" s="39">
        <v>695</v>
      </c>
      <c r="J766" s="39">
        <v>50</v>
      </c>
      <c r="K766" s="40"/>
      <c r="L766" s="40"/>
      <c r="M766" s="40"/>
      <c r="N766" s="40"/>
      <c r="O766" s="40"/>
      <c r="P766" s="40"/>
      <c r="Q766" s="40"/>
      <c r="R766" s="40"/>
      <c r="S766" s="40"/>
      <c r="T766" s="40"/>
    </row>
    <row r="767" spans="1:20" ht="15.75">
      <c r="A767" s="13">
        <v>64497</v>
      </c>
      <c r="B767" s="48">
        <f t="shared" si="2"/>
        <v>31</v>
      </c>
      <c r="C767" s="39">
        <v>194.20500000000001</v>
      </c>
      <c r="D767" s="39">
        <v>267.46600000000001</v>
      </c>
      <c r="E767" s="45">
        <v>812.32899999999995</v>
      </c>
      <c r="F767" s="39">
        <v>1274</v>
      </c>
      <c r="G767" s="39">
        <v>50</v>
      </c>
      <c r="H767" s="47">
        <v>600</v>
      </c>
      <c r="I767" s="39">
        <v>695</v>
      </c>
      <c r="J767" s="39">
        <v>0</v>
      </c>
      <c r="K767" s="40"/>
      <c r="L767" s="40"/>
      <c r="M767" s="40"/>
      <c r="N767" s="40"/>
      <c r="O767" s="40"/>
      <c r="P767" s="40"/>
      <c r="Q767" s="40"/>
      <c r="R767" s="40"/>
      <c r="S767" s="40"/>
      <c r="T767" s="40"/>
    </row>
    <row r="768" spans="1:20" ht="15.75">
      <c r="A768" s="13">
        <v>64528</v>
      </c>
      <c r="B768" s="48">
        <f t="shared" si="2"/>
        <v>31</v>
      </c>
      <c r="C768" s="39">
        <v>194.20500000000001</v>
      </c>
      <c r="D768" s="39">
        <v>267.46600000000001</v>
      </c>
      <c r="E768" s="45">
        <v>812.32899999999995</v>
      </c>
      <c r="F768" s="39">
        <v>1274</v>
      </c>
      <c r="G768" s="39">
        <v>50</v>
      </c>
      <c r="H768" s="47">
        <v>600</v>
      </c>
      <c r="I768" s="39">
        <v>695</v>
      </c>
      <c r="J768" s="39">
        <v>0</v>
      </c>
      <c r="K768" s="40"/>
      <c r="L768" s="40"/>
      <c r="M768" s="40"/>
      <c r="N768" s="40"/>
      <c r="O768" s="40"/>
      <c r="P768" s="40"/>
      <c r="Q768" s="40"/>
      <c r="R768" s="40"/>
      <c r="S768" s="40"/>
      <c r="T768" s="40"/>
    </row>
    <row r="769" spans="1:20" ht="15.75">
      <c r="A769" s="13">
        <v>64558</v>
      </c>
      <c r="B769" s="48">
        <f t="shared" si="2"/>
        <v>30</v>
      </c>
      <c r="C769" s="39">
        <v>194.20500000000001</v>
      </c>
      <c r="D769" s="39">
        <v>267.46600000000001</v>
      </c>
      <c r="E769" s="45">
        <v>812.32899999999995</v>
      </c>
      <c r="F769" s="39">
        <v>1274</v>
      </c>
      <c r="G769" s="39">
        <v>50</v>
      </c>
      <c r="H769" s="47">
        <v>600</v>
      </c>
      <c r="I769" s="39">
        <v>695</v>
      </c>
      <c r="J769" s="39">
        <v>0</v>
      </c>
      <c r="K769" s="40"/>
      <c r="L769" s="40"/>
      <c r="M769" s="40"/>
      <c r="N769" s="40"/>
      <c r="O769" s="40"/>
      <c r="P769" s="40"/>
      <c r="Q769" s="40"/>
      <c r="R769" s="40"/>
      <c r="S769" s="40"/>
      <c r="T769" s="40"/>
    </row>
    <row r="770" spans="1:20" ht="15.75">
      <c r="A770" s="13">
        <v>64589</v>
      </c>
      <c r="B770" s="48">
        <f t="shared" si="2"/>
        <v>31</v>
      </c>
      <c r="C770" s="39">
        <v>131.881</v>
      </c>
      <c r="D770" s="39">
        <v>277.16699999999997</v>
      </c>
      <c r="E770" s="45">
        <v>829.952</v>
      </c>
      <c r="F770" s="39">
        <v>1239</v>
      </c>
      <c r="G770" s="39">
        <v>75</v>
      </c>
      <c r="H770" s="47">
        <v>600</v>
      </c>
      <c r="I770" s="39">
        <v>695</v>
      </c>
      <c r="J770" s="39">
        <v>0</v>
      </c>
      <c r="K770" s="40"/>
      <c r="L770" s="40"/>
      <c r="M770" s="40"/>
      <c r="N770" s="40"/>
      <c r="O770" s="40"/>
      <c r="P770" s="40"/>
      <c r="Q770" s="40"/>
      <c r="R770" s="40"/>
      <c r="S770" s="40"/>
      <c r="T770" s="40"/>
    </row>
    <row r="771" spans="1:20" ht="15.75">
      <c r="A771" s="13">
        <v>64619</v>
      </c>
      <c r="B771" s="48">
        <f t="shared" si="2"/>
        <v>30</v>
      </c>
      <c r="C771" s="39">
        <v>122.58</v>
      </c>
      <c r="D771" s="39">
        <v>297.94099999999997</v>
      </c>
      <c r="E771" s="45">
        <v>729.47900000000004</v>
      </c>
      <c r="F771" s="39">
        <v>1150</v>
      </c>
      <c r="G771" s="39">
        <v>100</v>
      </c>
      <c r="H771" s="47">
        <v>600</v>
      </c>
      <c r="I771" s="39">
        <v>695</v>
      </c>
      <c r="J771" s="39">
        <v>50</v>
      </c>
      <c r="K771" s="40"/>
      <c r="L771" s="40"/>
      <c r="M771" s="40"/>
      <c r="N771" s="40"/>
      <c r="O771" s="40"/>
      <c r="P771" s="40"/>
      <c r="Q771" s="40"/>
      <c r="R771" s="40"/>
      <c r="S771" s="40"/>
      <c r="T771" s="40"/>
    </row>
    <row r="772" spans="1:20" ht="15.75">
      <c r="A772" s="13">
        <v>64650</v>
      </c>
      <c r="B772" s="48">
        <f t="shared" si="2"/>
        <v>31</v>
      </c>
      <c r="C772" s="39">
        <v>122.58</v>
      </c>
      <c r="D772" s="39">
        <v>297.94099999999997</v>
      </c>
      <c r="E772" s="45">
        <v>729.47900000000004</v>
      </c>
      <c r="F772" s="39">
        <v>1150</v>
      </c>
      <c r="G772" s="39">
        <v>100</v>
      </c>
      <c r="H772" s="47">
        <v>600</v>
      </c>
      <c r="I772" s="39">
        <v>695</v>
      </c>
      <c r="J772" s="39">
        <v>50</v>
      </c>
      <c r="K772" s="40"/>
      <c r="L772" s="40"/>
      <c r="M772" s="40"/>
      <c r="N772" s="40"/>
      <c r="O772" s="40"/>
      <c r="P772" s="40"/>
      <c r="Q772" s="40"/>
      <c r="R772" s="40"/>
      <c r="S772" s="40"/>
      <c r="T772" s="40"/>
    </row>
    <row r="773" spans="1:20" ht="15.75">
      <c r="A773" s="13">
        <v>64681</v>
      </c>
      <c r="B773" s="48">
        <f t="shared" si="2"/>
        <v>31</v>
      </c>
      <c r="C773" s="39">
        <v>122.58</v>
      </c>
      <c r="D773" s="39">
        <v>297.94099999999997</v>
      </c>
      <c r="E773" s="45">
        <v>729.47900000000004</v>
      </c>
      <c r="F773" s="39">
        <v>1150</v>
      </c>
      <c r="G773" s="39">
        <v>100</v>
      </c>
      <c r="H773" s="47">
        <v>600</v>
      </c>
      <c r="I773" s="39">
        <v>695</v>
      </c>
      <c r="J773" s="39">
        <v>50</v>
      </c>
      <c r="K773" s="40"/>
      <c r="L773" s="40"/>
      <c r="M773" s="40"/>
      <c r="N773" s="40"/>
      <c r="O773" s="40"/>
      <c r="P773" s="40"/>
      <c r="Q773" s="40"/>
      <c r="R773" s="40"/>
      <c r="S773" s="40"/>
      <c r="T773" s="40"/>
    </row>
    <row r="774" spans="1:20" ht="15.75">
      <c r="A774" s="13">
        <v>64709</v>
      </c>
      <c r="B774" s="48">
        <f t="shared" si="2"/>
        <v>28</v>
      </c>
      <c r="C774" s="39">
        <v>122.58</v>
      </c>
      <c r="D774" s="39">
        <v>297.94099999999997</v>
      </c>
      <c r="E774" s="45">
        <v>729.47900000000004</v>
      </c>
      <c r="F774" s="39">
        <v>1150</v>
      </c>
      <c r="G774" s="39">
        <v>100</v>
      </c>
      <c r="H774" s="47">
        <v>600</v>
      </c>
      <c r="I774" s="39">
        <v>695</v>
      </c>
      <c r="J774" s="39">
        <v>50</v>
      </c>
      <c r="K774" s="40"/>
      <c r="L774" s="40"/>
      <c r="M774" s="40"/>
      <c r="N774" s="40"/>
      <c r="O774" s="40"/>
      <c r="P774" s="40"/>
      <c r="Q774" s="40"/>
      <c r="R774" s="40"/>
      <c r="S774" s="40"/>
      <c r="T774" s="40"/>
    </row>
    <row r="775" spans="1:20" ht="15.75">
      <c r="A775" s="13">
        <v>64740</v>
      </c>
      <c r="B775" s="48">
        <f t="shared" si="2"/>
        <v>31</v>
      </c>
      <c r="C775" s="39">
        <v>122.58</v>
      </c>
      <c r="D775" s="39">
        <v>297.94099999999997</v>
      </c>
      <c r="E775" s="45">
        <v>729.47900000000004</v>
      </c>
      <c r="F775" s="39">
        <v>1150</v>
      </c>
      <c r="G775" s="39">
        <v>100</v>
      </c>
      <c r="H775" s="47">
        <v>600</v>
      </c>
      <c r="I775" s="39">
        <v>695</v>
      </c>
      <c r="J775" s="39">
        <v>50</v>
      </c>
      <c r="K775" s="40"/>
      <c r="L775" s="40"/>
      <c r="M775" s="40"/>
      <c r="N775" s="40"/>
      <c r="O775" s="40"/>
      <c r="P775" s="40"/>
      <c r="Q775" s="40"/>
      <c r="R775" s="40"/>
      <c r="S775" s="40"/>
      <c r="T775" s="40"/>
    </row>
    <row r="776" spans="1:20" ht="15.75">
      <c r="A776" s="13">
        <v>64770</v>
      </c>
      <c r="B776" s="48">
        <f t="shared" si="2"/>
        <v>30</v>
      </c>
      <c r="C776" s="39">
        <v>141.29300000000001</v>
      </c>
      <c r="D776" s="39">
        <v>267.99299999999999</v>
      </c>
      <c r="E776" s="45">
        <v>829.71400000000006</v>
      </c>
      <c r="F776" s="39">
        <v>1239</v>
      </c>
      <c r="G776" s="39">
        <v>100</v>
      </c>
      <c r="H776" s="47">
        <v>600</v>
      </c>
      <c r="I776" s="39">
        <v>695</v>
      </c>
      <c r="J776" s="39">
        <v>50</v>
      </c>
      <c r="K776" s="40"/>
      <c r="L776" s="40"/>
      <c r="M776" s="40"/>
      <c r="N776" s="40"/>
      <c r="O776" s="40"/>
      <c r="P776" s="40"/>
      <c r="Q776" s="40"/>
      <c r="R776" s="40"/>
      <c r="S776" s="40"/>
      <c r="T776" s="40"/>
    </row>
    <row r="777" spans="1:20" ht="15.75">
      <c r="A777" s="13">
        <v>64801</v>
      </c>
      <c r="B777" s="48">
        <f t="shared" si="2"/>
        <v>31</v>
      </c>
      <c r="C777" s="39">
        <v>194.20500000000001</v>
      </c>
      <c r="D777" s="39">
        <v>267.46600000000001</v>
      </c>
      <c r="E777" s="45">
        <v>812.32899999999995</v>
      </c>
      <c r="F777" s="39">
        <v>1274</v>
      </c>
      <c r="G777" s="39">
        <v>75</v>
      </c>
      <c r="H777" s="47">
        <v>600</v>
      </c>
      <c r="I777" s="39">
        <v>695</v>
      </c>
      <c r="J777" s="39">
        <v>50</v>
      </c>
      <c r="K777" s="40"/>
      <c r="L777" s="40"/>
      <c r="M777" s="40"/>
      <c r="N777" s="40"/>
      <c r="O777" s="40"/>
      <c r="P777" s="40"/>
      <c r="Q777" s="40"/>
      <c r="R777" s="40"/>
      <c r="S777" s="40"/>
      <c r="T777" s="40"/>
    </row>
    <row r="778" spans="1:20" ht="15.75">
      <c r="A778" s="13">
        <v>64831</v>
      </c>
      <c r="B778" s="48">
        <f t="shared" si="2"/>
        <v>30</v>
      </c>
      <c r="C778" s="39">
        <v>194.20500000000001</v>
      </c>
      <c r="D778" s="39">
        <v>267.46600000000001</v>
      </c>
      <c r="E778" s="45">
        <v>812.32899999999995</v>
      </c>
      <c r="F778" s="39">
        <v>1274</v>
      </c>
      <c r="G778" s="39">
        <v>50</v>
      </c>
      <c r="H778" s="47">
        <v>600</v>
      </c>
      <c r="I778" s="39">
        <v>695</v>
      </c>
      <c r="J778" s="39">
        <v>50</v>
      </c>
      <c r="K778" s="40"/>
      <c r="L778" s="40"/>
      <c r="M778" s="40"/>
      <c r="N778" s="40"/>
      <c r="O778" s="40"/>
      <c r="P778" s="40"/>
      <c r="Q778" s="40"/>
      <c r="R778" s="40"/>
      <c r="S778" s="40"/>
      <c r="T778" s="40"/>
    </row>
    <row r="779" spans="1:20" ht="15.75">
      <c r="A779" s="13">
        <v>64862</v>
      </c>
      <c r="B779" s="48">
        <f t="shared" si="2"/>
        <v>31</v>
      </c>
      <c r="C779" s="39">
        <v>194.20500000000001</v>
      </c>
      <c r="D779" s="39">
        <v>267.46600000000001</v>
      </c>
      <c r="E779" s="45">
        <v>812.32899999999995</v>
      </c>
      <c r="F779" s="39">
        <v>1274</v>
      </c>
      <c r="G779" s="39">
        <v>50</v>
      </c>
      <c r="H779" s="47">
        <v>600</v>
      </c>
      <c r="I779" s="39">
        <v>695</v>
      </c>
      <c r="J779" s="39">
        <v>0</v>
      </c>
      <c r="K779" s="40"/>
      <c r="L779" s="40"/>
      <c r="M779" s="40"/>
      <c r="N779" s="40"/>
      <c r="O779" s="40"/>
      <c r="P779" s="40"/>
      <c r="Q779" s="40"/>
      <c r="R779" s="40"/>
      <c r="S779" s="40"/>
      <c r="T779" s="40"/>
    </row>
    <row r="780" spans="1:20" ht="15.75">
      <c r="A780" s="13">
        <v>64893</v>
      </c>
      <c r="B780" s="48">
        <f t="shared" si="2"/>
        <v>31</v>
      </c>
      <c r="C780" s="39">
        <v>194.20500000000001</v>
      </c>
      <c r="D780" s="39">
        <v>267.46600000000001</v>
      </c>
      <c r="E780" s="45">
        <v>812.32899999999995</v>
      </c>
      <c r="F780" s="39">
        <v>1274</v>
      </c>
      <c r="G780" s="39">
        <v>50</v>
      </c>
      <c r="H780" s="47">
        <v>600</v>
      </c>
      <c r="I780" s="39">
        <v>695</v>
      </c>
      <c r="J780" s="39">
        <v>0</v>
      </c>
      <c r="K780" s="40"/>
      <c r="L780" s="40"/>
      <c r="M780" s="40"/>
      <c r="N780" s="40"/>
      <c r="O780" s="40"/>
      <c r="P780" s="40"/>
      <c r="Q780" s="40"/>
      <c r="R780" s="40"/>
      <c r="S780" s="40"/>
      <c r="T780" s="40"/>
    </row>
    <row r="781" spans="1:20" ht="15.75">
      <c r="A781" s="13">
        <v>64923</v>
      </c>
      <c r="B781" s="48">
        <f t="shared" si="2"/>
        <v>30</v>
      </c>
      <c r="C781" s="39">
        <v>194.20500000000001</v>
      </c>
      <c r="D781" s="39">
        <v>267.46600000000001</v>
      </c>
      <c r="E781" s="45">
        <v>812.32899999999995</v>
      </c>
      <c r="F781" s="39">
        <v>1274</v>
      </c>
      <c r="G781" s="39">
        <v>50</v>
      </c>
      <c r="H781" s="47">
        <v>600</v>
      </c>
      <c r="I781" s="39">
        <v>695</v>
      </c>
      <c r="J781" s="39">
        <v>0</v>
      </c>
      <c r="K781" s="40"/>
      <c r="L781" s="40"/>
      <c r="M781" s="40"/>
      <c r="N781" s="40"/>
      <c r="O781" s="40"/>
      <c r="P781" s="40"/>
      <c r="Q781" s="40"/>
      <c r="R781" s="40"/>
      <c r="S781" s="40"/>
      <c r="T781" s="40"/>
    </row>
    <row r="782" spans="1:20" ht="15.75">
      <c r="A782" s="13">
        <v>64954</v>
      </c>
      <c r="B782" s="48">
        <f t="shared" si="2"/>
        <v>31</v>
      </c>
      <c r="C782" s="39">
        <v>131.881</v>
      </c>
      <c r="D782" s="39">
        <v>277.16699999999997</v>
      </c>
      <c r="E782" s="45">
        <v>829.952</v>
      </c>
      <c r="F782" s="39">
        <v>1239</v>
      </c>
      <c r="G782" s="39">
        <v>75</v>
      </c>
      <c r="H782" s="47">
        <v>600</v>
      </c>
      <c r="I782" s="39">
        <v>695</v>
      </c>
      <c r="J782" s="39">
        <v>0</v>
      </c>
      <c r="K782" s="40"/>
      <c r="L782" s="40"/>
      <c r="M782" s="40"/>
      <c r="N782" s="40"/>
      <c r="O782" s="40"/>
      <c r="P782" s="40"/>
      <c r="Q782" s="40"/>
      <c r="R782" s="40"/>
      <c r="S782" s="40"/>
      <c r="T782" s="40"/>
    </row>
    <row r="783" spans="1:20" ht="15.75">
      <c r="A783" s="13">
        <v>64984</v>
      </c>
      <c r="B783" s="48">
        <f t="shared" si="2"/>
        <v>30</v>
      </c>
      <c r="C783" s="39">
        <v>122.58</v>
      </c>
      <c r="D783" s="39">
        <v>297.94099999999997</v>
      </c>
      <c r="E783" s="45">
        <v>729.47900000000004</v>
      </c>
      <c r="F783" s="39">
        <v>1150</v>
      </c>
      <c r="G783" s="39">
        <v>100</v>
      </c>
      <c r="H783" s="47">
        <v>600</v>
      </c>
      <c r="I783" s="39">
        <v>695</v>
      </c>
      <c r="J783" s="39">
        <v>50</v>
      </c>
      <c r="K783" s="40"/>
      <c r="L783" s="40"/>
      <c r="M783" s="40"/>
      <c r="N783" s="40"/>
      <c r="O783" s="40"/>
      <c r="P783" s="40"/>
      <c r="Q783" s="40"/>
      <c r="R783" s="40"/>
      <c r="S783" s="40"/>
      <c r="T783" s="40"/>
    </row>
    <row r="784" spans="1:20" ht="15.75">
      <c r="A784" s="13">
        <v>65015</v>
      </c>
      <c r="B784" s="48">
        <f t="shared" si="2"/>
        <v>31</v>
      </c>
      <c r="C784" s="39">
        <v>122.58</v>
      </c>
      <c r="D784" s="39">
        <v>297.94099999999997</v>
      </c>
      <c r="E784" s="45">
        <v>729.47900000000004</v>
      </c>
      <c r="F784" s="39">
        <v>1150</v>
      </c>
      <c r="G784" s="39">
        <v>100</v>
      </c>
      <c r="H784" s="47">
        <v>600</v>
      </c>
      <c r="I784" s="39">
        <v>695</v>
      </c>
      <c r="J784" s="39">
        <v>50</v>
      </c>
      <c r="K784" s="40"/>
      <c r="L784" s="40"/>
      <c r="M784" s="40"/>
      <c r="N784" s="40"/>
      <c r="O784" s="40"/>
      <c r="P784" s="40"/>
      <c r="Q784" s="40"/>
      <c r="R784" s="40"/>
      <c r="S784" s="40"/>
      <c r="T784" s="40"/>
    </row>
    <row r="785" spans="1:20" ht="15.75">
      <c r="A785" s="13">
        <v>65046</v>
      </c>
      <c r="B785" s="48">
        <f t="shared" ref="B785:B848" si="3">EOMONTH(A785,0)-EOMONTH(A785,-1)</f>
        <v>31</v>
      </c>
      <c r="C785" s="39">
        <v>122.58</v>
      </c>
      <c r="D785" s="39">
        <v>297.94099999999997</v>
      </c>
      <c r="E785" s="45">
        <v>729.47900000000004</v>
      </c>
      <c r="F785" s="39">
        <v>1150</v>
      </c>
      <c r="G785" s="39">
        <v>100</v>
      </c>
      <c r="H785" s="47">
        <v>600</v>
      </c>
      <c r="I785" s="39">
        <v>695</v>
      </c>
      <c r="J785" s="39">
        <v>50</v>
      </c>
      <c r="K785" s="40"/>
      <c r="L785" s="40"/>
      <c r="M785" s="40"/>
      <c r="N785" s="40"/>
      <c r="O785" s="40"/>
      <c r="P785" s="40"/>
      <c r="Q785" s="40"/>
      <c r="R785" s="40"/>
      <c r="S785" s="40"/>
      <c r="T785" s="40"/>
    </row>
    <row r="786" spans="1:20" ht="15.75">
      <c r="A786" s="13">
        <v>65074</v>
      </c>
      <c r="B786" s="48">
        <f t="shared" si="3"/>
        <v>28</v>
      </c>
      <c r="C786" s="39">
        <v>122.58</v>
      </c>
      <c r="D786" s="39">
        <v>297.94099999999997</v>
      </c>
      <c r="E786" s="45">
        <v>729.47900000000004</v>
      </c>
      <c r="F786" s="39">
        <v>1150</v>
      </c>
      <c r="G786" s="39">
        <v>100</v>
      </c>
      <c r="H786" s="47">
        <v>600</v>
      </c>
      <c r="I786" s="39">
        <v>695</v>
      </c>
      <c r="J786" s="39">
        <v>50</v>
      </c>
      <c r="K786" s="40"/>
      <c r="L786" s="40"/>
      <c r="M786" s="40"/>
      <c r="N786" s="40"/>
      <c r="O786" s="40"/>
      <c r="P786" s="40"/>
      <c r="Q786" s="40"/>
      <c r="R786" s="40"/>
      <c r="S786" s="40"/>
      <c r="T786" s="40"/>
    </row>
    <row r="787" spans="1:20" ht="15.75">
      <c r="A787" s="13">
        <v>65105</v>
      </c>
      <c r="B787" s="48">
        <f t="shared" si="3"/>
        <v>31</v>
      </c>
      <c r="C787" s="39">
        <v>122.58</v>
      </c>
      <c r="D787" s="39">
        <v>297.94099999999997</v>
      </c>
      <c r="E787" s="45">
        <v>729.47900000000004</v>
      </c>
      <c r="F787" s="39">
        <v>1150</v>
      </c>
      <c r="G787" s="39">
        <v>100</v>
      </c>
      <c r="H787" s="47">
        <v>600</v>
      </c>
      <c r="I787" s="39">
        <v>695</v>
      </c>
      <c r="J787" s="39">
        <v>50</v>
      </c>
      <c r="K787" s="40"/>
      <c r="L787" s="40"/>
      <c r="M787" s="40"/>
      <c r="N787" s="40"/>
      <c r="O787" s="40"/>
      <c r="P787" s="40"/>
      <c r="Q787" s="40"/>
      <c r="R787" s="40"/>
      <c r="S787" s="40"/>
      <c r="T787" s="40"/>
    </row>
    <row r="788" spans="1:20" ht="15.75">
      <c r="A788" s="13">
        <v>65135</v>
      </c>
      <c r="B788" s="48">
        <f t="shared" si="3"/>
        <v>30</v>
      </c>
      <c r="C788" s="39">
        <v>141.29300000000001</v>
      </c>
      <c r="D788" s="39">
        <v>267.99299999999999</v>
      </c>
      <c r="E788" s="45">
        <v>829.71400000000006</v>
      </c>
      <c r="F788" s="39">
        <v>1239</v>
      </c>
      <c r="G788" s="39">
        <v>100</v>
      </c>
      <c r="H788" s="47">
        <v>600</v>
      </c>
      <c r="I788" s="39">
        <v>695</v>
      </c>
      <c r="J788" s="39">
        <v>50</v>
      </c>
      <c r="K788" s="40"/>
      <c r="L788" s="40"/>
      <c r="M788" s="40"/>
      <c r="N788" s="40"/>
      <c r="O788" s="40"/>
      <c r="P788" s="40"/>
      <c r="Q788" s="40"/>
      <c r="R788" s="40"/>
      <c r="S788" s="40"/>
      <c r="T788" s="40"/>
    </row>
    <row r="789" spans="1:20" ht="15.75">
      <c r="A789" s="13">
        <v>65166</v>
      </c>
      <c r="B789" s="48">
        <f t="shared" si="3"/>
        <v>31</v>
      </c>
      <c r="C789" s="39">
        <v>194.20500000000001</v>
      </c>
      <c r="D789" s="39">
        <v>267.46600000000001</v>
      </c>
      <c r="E789" s="45">
        <v>812.32899999999995</v>
      </c>
      <c r="F789" s="39">
        <v>1274</v>
      </c>
      <c r="G789" s="39">
        <v>75</v>
      </c>
      <c r="H789" s="47">
        <v>600</v>
      </c>
      <c r="I789" s="39">
        <v>695</v>
      </c>
      <c r="J789" s="39">
        <v>50</v>
      </c>
      <c r="K789" s="40"/>
      <c r="L789" s="40"/>
      <c r="M789" s="40"/>
      <c r="N789" s="40"/>
      <c r="O789" s="40"/>
      <c r="P789" s="40"/>
      <c r="Q789" s="40"/>
      <c r="R789" s="40"/>
      <c r="S789" s="40"/>
      <c r="T789" s="40"/>
    </row>
    <row r="790" spans="1:20" ht="15.75">
      <c r="A790" s="13">
        <v>65196</v>
      </c>
      <c r="B790" s="48">
        <f t="shared" si="3"/>
        <v>30</v>
      </c>
      <c r="C790" s="39">
        <v>194.20500000000001</v>
      </c>
      <c r="D790" s="39">
        <v>267.46600000000001</v>
      </c>
      <c r="E790" s="45">
        <v>812.32899999999995</v>
      </c>
      <c r="F790" s="39">
        <v>1274</v>
      </c>
      <c r="G790" s="39">
        <v>50</v>
      </c>
      <c r="H790" s="47">
        <v>600</v>
      </c>
      <c r="I790" s="39">
        <v>695</v>
      </c>
      <c r="J790" s="39">
        <v>50</v>
      </c>
      <c r="K790" s="40"/>
      <c r="L790" s="40"/>
      <c r="M790" s="40"/>
      <c r="N790" s="40"/>
      <c r="O790" s="40"/>
      <c r="P790" s="40"/>
      <c r="Q790" s="40"/>
      <c r="R790" s="40"/>
      <c r="S790" s="40"/>
      <c r="T790" s="40"/>
    </row>
    <row r="791" spans="1:20" ht="15.75">
      <c r="A791" s="13">
        <v>65227</v>
      </c>
      <c r="B791" s="48">
        <f t="shared" si="3"/>
        <v>31</v>
      </c>
      <c r="C791" s="39">
        <v>194.20500000000001</v>
      </c>
      <c r="D791" s="39">
        <v>267.46600000000001</v>
      </c>
      <c r="E791" s="45">
        <v>812.32899999999995</v>
      </c>
      <c r="F791" s="39">
        <v>1274</v>
      </c>
      <c r="G791" s="39">
        <v>50</v>
      </c>
      <c r="H791" s="47">
        <v>600</v>
      </c>
      <c r="I791" s="39">
        <v>695</v>
      </c>
      <c r="J791" s="39">
        <v>0</v>
      </c>
      <c r="K791" s="40"/>
      <c r="L791" s="40"/>
      <c r="M791" s="40"/>
      <c r="N791" s="40"/>
      <c r="O791" s="40"/>
      <c r="P791" s="40"/>
      <c r="Q791" s="40"/>
      <c r="R791" s="40"/>
      <c r="S791" s="40"/>
      <c r="T791" s="40"/>
    </row>
    <row r="792" spans="1:20" ht="15.75">
      <c r="A792" s="13">
        <v>65258</v>
      </c>
      <c r="B792" s="48">
        <f t="shared" si="3"/>
        <v>31</v>
      </c>
      <c r="C792" s="39">
        <v>194.20500000000001</v>
      </c>
      <c r="D792" s="39">
        <v>267.46600000000001</v>
      </c>
      <c r="E792" s="45">
        <v>812.32899999999995</v>
      </c>
      <c r="F792" s="39">
        <v>1274</v>
      </c>
      <c r="G792" s="39">
        <v>50</v>
      </c>
      <c r="H792" s="47">
        <v>600</v>
      </c>
      <c r="I792" s="39">
        <v>695</v>
      </c>
      <c r="J792" s="39">
        <v>0</v>
      </c>
      <c r="K792" s="40"/>
      <c r="L792" s="40"/>
      <c r="M792" s="40"/>
      <c r="N792" s="40"/>
      <c r="O792" s="40"/>
      <c r="P792" s="40"/>
      <c r="Q792" s="40"/>
      <c r="R792" s="40"/>
      <c r="S792" s="40"/>
      <c r="T792" s="40"/>
    </row>
    <row r="793" spans="1:20" ht="15.75">
      <c r="A793" s="13">
        <v>65288</v>
      </c>
      <c r="B793" s="48">
        <f t="shared" si="3"/>
        <v>30</v>
      </c>
      <c r="C793" s="39">
        <v>194.20500000000001</v>
      </c>
      <c r="D793" s="39">
        <v>267.46600000000001</v>
      </c>
      <c r="E793" s="45">
        <v>812.32899999999995</v>
      </c>
      <c r="F793" s="39">
        <v>1274</v>
      </c>
      <c r="G793" s="39">
        <v>50</v>
      </c>
      <c r="H793" s="47">
        <v>600</v>
      </c>
      <c r="I793" s="39">
        <v>695</v>
      </c>
      <c r="J793" s="39">
        <v>0</v>
      </c>
      <c r="K793" s="40"/>
      <c r="L793" s="40"/>
      <c r="M793" s="40"/>
      <c r="N793" s="40"/>
      <c r="O793" s="40"/>
      <c r="P793" s="40"/>
      <c r="Q793" s="40"/>
      <c r="R793" s="40"/>
      <c r="S793" s="40"/>
      <c r="T793" s="40"/>
    </row>
    <row r="794" spans="1:20" ht="15.75">
      <c r="A794" s="13">
        <v>65319</v>
      </c>
      <c r="B794" s="48">
        <f t="shared" si="3"/>
        <v>31</v>
      </c>
      <c r="C794" s="39">
        <v>131.881</v>
      </c>
      <c r="D794" s="39">
        <v>277.16699999999997</v>
      </c>
      <c r="E794" s="45">
        <v>829.952</v>
      </c>
      <c r="F794" s="39">
        <v>1239</v>
      </c>
      <c r="G794" s="39">
        <v>75</v>
      </c>
      <c r="H794" s="47">
        <v>600</v>
      </c>
      <c r="I794" s="39">
        <v>695</v>
      </c>
      <c r="J794" s="39">
        <v>0</v>
      </c>
      <c r="K794" s="40"/>
      <c r="L794" s="40"/>
      <c r="M794" s="40"/>
      <c r="N794" s="40"/>
      <c r="O794" s="40"/>
      <c r="P794" s="40"/>
      <c r="Q794" s="40"/>
      <c r="R794" s="40"/>
      <c r="S794" s="40"/>
      <c r="T794" s="40"/>
    </row>
    <row r="795" spans="1:20" ht="15.75">
      <c r="A795" s="13">
        <v>65349</v>
      </c>
      <c r="B795" s="48">
        <f t="shared" si="3"/>
        <v>30</v>
      </c>
      <c r="C795" s="39">
        <v>122.58</v>
      </c>
      <c r="D795" s="39">
        <v>297.94099999999997</v>
      </c>
      <c r="E795" s="45">
        <v>729.47900000000004</v>
      </c>
      <c r="F795" s="39">
        <v>1150</v>
      </c>
      <c r="G795" s="39">
        <v>100</v>
      </c>
      <c r="H795" s="47">
        <v>600</v>
      </c>
      <c r="I795" s="39">
        <v>695</v>
      </c>
      <c r="J795" s="39">
        <v>50</v>
      </c>
      <c r="K795" s="40"/>
      <c r="L795" s="40"/>
      <c r="M795" s="40"/>
      <c r="N795" s="40"/>
      <c r="O795" s="40"/>
      <c r="P795" s="40"/>
      <c r="Q795" s="40"/>
      <c r="R795" s="40"/>
      <c r="S795" s="40"/>
      <c r="T795" s="40"/>
    </row>
    <row r="796" spans="1:20" ht="15.75">
      <c r="A796" s="13">
        <v>65380</v>
      </c>
      <c r="B796" s="48">
        <f t="shared" si="3"/>
        <v>31</v>
      </c>
      <c r="C796" s="39">
        <v>122.58</v>
      </c>
      <c r="D796" s="39">
        <v>297.94099999999997</v>
      </c>
      <c r="E796" s="45">
        <v>729.47900000000004</v>
      </c>
      <c r="F796" s="39">
        <v>1150</v>
      </c>
      <c r="G796" s="39">
        <v>100</v>
      </c>
      <c r="H796" s="47">
        <v>600</v>
      </c>
      <c r="I796" s="39">
        <v>695</v>
      </c>
      <c r="J796" s="39">
        <v>50</v>
      </c>
      <c r="K796" s="40"/>
      <c r="L796" s="40"/>
      <c r="M796" s="40"/>
      <c r="N796" s="40"/>
      <c r="O796" s="40"/>
      <c r="P796" s="40"/>
      <c r="Q796" s="40"/>
      <c r="R796" s="40"/>
      <c r="S796" s="40"/>
      <c r="T796" s="40"/>
    </row>
    <row r="797" spans="1:20" ht="15.75">
      <c r="A797" s="13">
        <v>65411</v>
      </c>
      <c r="B797" s="48">
        <f t="shared" si="3"/>
        <v>31</v>
      </c>
      <c r="C797" s="39">
        <v>122.58</v>
      </c>
      <c r="D797" s="39">
        <v>297.94099999999997</v>
      </c>
      <c r="E797" s="45">
        <v>729.47900000000004</v>
      </c>
      <c r="F797" s="39">
        <v>1150</v>
      </c>
      <c r="G797" s="39">
        <v>100</v>
      </c>
      <c r="H797" s="47">
        <v>600</v>
      </c>
      <c r="I797" s="39">
        <v>695</v>
      </c>
      <c r="J797" s="39">
        <v>50</v>
      </c>
      <c r="K797" s="40"/>
      <c r="L797" s="40"/>
      <c r="M797" s="40"/>
      <c r="N797" s="40"/>
      <c r="O797" s="40"/>
      <c r="P797" s="40"/>
      <c r="Q797" s="40"/>
      <c r="R797" s="40"/>
      <c r="S797" s="40"/>
      <c r="T797" s="40"/>
    </row>
    <row r="798" spans="1:20" ht="15.75">
      <c r="A798" s="13">
        <v>65439</v>
      </c>
      <c r="B798" s="48">
        <f t="shared" si="3"/>
        <v>28</v>
      </c>
      <c r="C798" s="39">
        <v>122.58</v>
      </c>
      <c r="D798" s="39">
        <v>297.94099999999997</v>
      </c>
      <c r="E798" s="45">
        <v>729.47900000000004</v>
      </c>
      <c r="F798" s="39">
        <v>1150</v>
      </c>
      <c r="G798" s="39">
        <v>100</v>
      </c>
      <c r="H798" s="47">
        <v>600</v>
      </c>
      <c r="I798" s="39">
        <v>695</v>
      </c>
      <c r="J798" s="39">
        <v>50</v>
      </c>
      <c r="K798" s="40"/>
      <c r="L798" s="40"/>
      <c r="M798" s="40"/>
      <c r="N798" s="40"/>
      <c r="O798" s="40"/>
      <c r="P798" s="40"/>
      <c r="Q798" s="40"/>
      <c r="R798" s="40"/>
      <c r="S798" s="40"/>
      <c r="T798" s="40"/>
    </row>
    <row r="799" spans="1:20" ht="15.75">
      <c r="A799" s="13">
        <v>65470</v>
      </c>
      <c r="B799" s="48">
        <f t="shared" si="3"/>
        <v>31</v>
      </c>
      <c r="C799" s="39">
        <v>122.58</v>
      </c>
      <c r="D799" s="39">
        <v>297.94099999999997</v>
      </c>
      <c r="E799" s="45">
        <v>729.47900000000004</v>
      </c>
      <c r="F799" s="39">
        <v>1150</v>
      </c>
      <c r="G799" s="39">
        <v>100</v>
      </c>
      <c r="H799" s="47">
        <v>600</v>
      </c>
      <c r="I799" s="39">
        <v>695</v>
      </c>
      <c r="J799" s="39">
        <v>50</v>
      </c>
      <c r="K799" s="40"/>
      <c r="L799" s="40"/>
      <c r="M799" s="40"/>
      <c r="N799" s="40"/>
      <c r="O799" s="40"/>
      <c r="P799" s="40"/>
      <c r="Q799" s="40"/>
      <c r="R799" s="40"/>
      <c r="S799" s="40"/>
      <c r="T799" s="40"/>
    </row>
    <row r="800" spans="1:20" ht="15.75">
      <c r="A800" s="13">
        <v>65500</v>
      </c>
      <c r="B800" s="48">
        <f t="shared" si="3"/>
        <v>30</v>
      </c>
      <c r="C800" s="39">
        <v>141.29300000000001</v>
      </c>
      <c r="D800" s="39">
        <v>267.99299999999999</v>
      </c>
      <c r="E800" s="45">
        <v>829.71400000000006</v>
      </c>
      <c r="F800" s="39">
        <v>1239</v>
      </c>
      <c r="G800" s="39">
        <v>100</v>
      </c>
      <c r="H800" s="47">
        <v>600</v>
      </c>
      <c r="I800" s="39">
        <v>695</v>
      </c>
      <c r="J800" s="39">
        <v>50</v>
      </c>
      <c r="K800" s="40"/>
      <c r="L800" s="40"/>
      <c r="M800" s="40"/>
      <c r="N800" s="40"/>
      <c r="O800" s="40"/>
      <c r="P800" s="40"/>
      <c r="Q800" s="40"/>
      <c r="R800" s="40"/>
      <c r="S800" s="40"/>
      <c r="T800" s="40"/>
    </row>
    <row r="801" spans="1:20" ht="15.75">
      <c r="A801" s="13">
        <v>65531</v>
      </c>
      <c r="B801" s="48">
        <f t="shared" si="3"/>
        <v>31</v>
      </c>
      <c r="C801" s="39">
        <v>194.20500000000001</v>
      </c>
      <c r="D801" s="39">
        <v>267.46600000000001</v>
      </c>
      <c r="E801" s="45">
        <v>812.32899999999995</v>
      </c>
      <c r="F801" s="39">
        <v>1274</v>
      </c>
      <c r="G801" s="39">
        <v>75</v>
      </c>
      <c r="H801" s="47">
        <v>600</v>
      </c>
      <c r="I801" s="39">
        <v>695</v>
      </c>
      <c r="J801" s="39">
        <v>50</v>
      </c>
      <c r="K801" s="40"/>
      <c r="L801" s="40"/>
      <c r="M801" s="40"/>
      <c r="N801" s="40"/>
      <c r="O801" s="40"/>
      <c r="P801" s="40"/>
      <c r="Q801" s="40"/>
      <c r="R801" s="40"/>
      <c r="S801" s="40"/>
      <c r="T801" s="40"/>
    </row>
    <row r="802" spans="1:20" ht="15.75">
      <c r="A802" s="13">
        <v>65561</v>
      </c>
      <c r="B802" s="48">
        <f t="shared" si="3"/>
        <v>30</v>
      </c>
      <c r="C802" s="39">
        <v>194.20500000000001</v>
      </c>
      <c r="D802" s="39">
        <v>267.46600000000001</v>
      </c>
      <c r="E802" s="45">
        <v>812.32899999999995</v>
      </c>
      <c r="F802" s="39">
        <v>1274</v>
      </c>
      <c r="G802" s="39">
        <v>50</v>
      </c>
      <c r="H802" s="47">
        <v>600</v>
      </c>
      <c r="I802" s="39">
        <v>695</v>
      </c>
      <c r="J802" s="39">
        <v>50</v>
      </c>
      <c r="K802" s="40"/>
      <c r="L802" s="40"/>
      <c r="M802" s="40"/>
      <c r="N802" s="40"/>
      <c r="O802" s="40"/>
      <c r="P802" s="40"/>
      <c r="Q802" s="40"/>
      <c r="R802" s="40"/>
      <c r="S802" s="40"/>
      <c r="T802" s="40"/>
    </row>
    <row r="803" spans="1:20" ht="15.75">
      <c r="A803" s="13">
        <v>65592</v>
      </c>
      <c r="B803" s="48">
        <f t="shared" si="3"/>
        <v>31</v>
      </c>
      <c r="C803" s="39">
        <v>194.20500000000001</v>
      </c>
      <c r="D803" s="39">
        <v>267.46600000000001</v>
      </c>
      <c r="E803" s="45">
        <v>812.32899999999995</v>
      </c>
      <c r="F803" s="39">
        <v>1274</v>
      </c>
      <c r="G803" s="39">
        <v>50</v>
      </c>
      <c r="H803" s="47">
        <v>600</v>
      </c>
      <c r="I803" s="39">
        <v>695</v>
      </c>
      <c r="J803" s="39">
        <v>0</v>
      </c>
      <c r="K803" s="40"/>
      <c r="L803" s="40"/>
      <c r="M803" s="40"/>
      <c r="N803" s="40"/>
      <c r="O803" s="40"/>
      <c r="P803" s="40"/>
      <c r="Q803" s="40"/>
      <c r="R803" s="40"/>
      <c r="S803" s="40"/>
      <c r="T803" s="40"/>
    </row>
    <row r="804" spans="1:20" ht="15.75">
      <c r="A804" s="13">
        <v>65623</v>
      </c>
      <c r="B804" s="48">
        <f t="shared" si="3"/>
        <v>31</v>
      </c>
      <c r="C804" s="39">
        <v>194.20500000000001</v>
      </c>
      <c r="D804" s="39">
        <v>267.46600000000001</v>
      </c>
      <c r="E804" s="45">
        <v>812.32899999999995</v>
      </c>
      <c r="F804" s="39">
        <v>1274</v>
      </c>
      <c r="G804" s="39">
        <v>50</v>
      </c>
      <c r="H804" s="47">
        <v>600</v>
      </c>
      <c r="I804" s="39">
        <v>695</v>
      </c>
      <c r="J804" s="39">
        <v>0</v>
      </c>
      <c r="K804" s="40"/>
      <c r="L804" s="40"/>
      <c r="M804" s="40"/>
      <c r="N804" s="40"/>
      <c r="O804" s="40"/>
      <c r="P804" s="40"/>
      <c r="Q804" s="40"/>
      <c r="R804" s="40"/>
      <c r="S804" s="40"/>
      <c r="T804" s="40"/>
    </row>
    <row r="805" spans="1:20" ht="15.75">
      <c r="A805" s="13">
        <v>65653</v>
      </c>
      <c r="B805" s="48">
        <f t="shared" si="3"/>
        <v>30</v>
      </c>
      <c r="C805" s="39">
        <v>194.20500000000001</v>
      </c>
      <c r="D805" s="39">
        <v>267.46600000000001</v>
      </c>
      <c r="E805" s="45">
        <v>812.32899999999995</v>
      </c>
      <c r="F805" s="39">
        <v>1274</v>
      </c>
      <c r="G805" s="39">
        <v>50</v>
      </c>
      <c r="H805" s="47">
        <v>600</v>
      </c>
      <c r="I805" s="39">
        <v>695</v>
      </c>
      <c r="J805" s="39">
        <v>0</v>
      </c>
      <c r="K805" s="40"/>
      <c r="L805" s="40"/>
      <c r="M805" s="40"/>
      <c r="N805" s="40"/>
      <c r="O805" s="40"/>
      <c r="P805" s="40"/>
      <c r="Q805" s="40"/>
      <c r="R805" s="40"/>
      <c r="S805" s="40"/>
      <c r="T805" s="40"/>
    </row>
    <row r="806" spans="1:20" ht="15.75">
      <c r="A806" s="13">
        <v>65684</v>
      </c>
      <c r="B806" s="48">
        <f t="shared" si="3"/>
        <v>31</v>
      </c>
      <c r="C806" s="39">
        <v>131.881</v>
      </c>
      <c r="D806" s="39">
        <v>277.16699999999997</v>
      </c>
      <c r="E806" s="45">
        <v>829.952</v>
      </c>
      <c r="F806" s="39">
        <v>1239</v>
      </c>
      <c r="G806" s="39">
        <v>75</v>
      </c>
      <c r="H806" s="47">
        <v>600</v>
      </c>
      <c r="I806" s="39">
        <v>695</v>
      </c>
      <c r="J806" s="39">
        <v>0</v>
      </c>
      <c r="K806" s="40"/>
      <c r="L806" s="40"/>
      <c r="M806" s="40"/>
      <c r="N806" s="40"/>
      <c r="O806" s="40"/>
      <c r="P806" s="40"/>
      <c r="Q806" s="40"/>
      <c r="R806" s="40"/>
      <c r="S806" s="40"/>
      <c r="T806" s="40"/>
    </row>
    <row r="807" spans="1:20" ht="15.75">
      <c r="A807" s="13">
        <v>65714</v>
      </c>
      <c r="B807" s="48">
        <f t="shared" si="3"/>
        <v>30</v>
      </c>
      <c r="C807" s="39">
        <v>122.58</v>
      </c>
      <c r="D807" s="39">
        <v>297.94099999999997</v>
      </c>
      <c r="E807" s="45">
        <v>729.47900000000004</v>
      </c>
      <c r="F807" s="39">
        <v>1150</v>
      </c>
      <c r="G807" s="39">
        <v>100</v>
      </c>
      <c r="H807" s="47">
        <v>600</v>
      </c>
      <c r="I807" s="39">
        <v>695</v>
      </c>
      <c r="J807" s="39">
        <v>50</v>
      </c>
      <c r="K807" s="40"/>
      <c r="L807" s="40"/>
      <c r="M807" s="40"/>
      <c r="N807" s="40"/>
      <c r="O807" s="40"/>
      <c r="P807" s="40"/>
      <c r="Q807" s="40"/>
      <c r="R807" s="40"/>
      <c r="S807" s="40"/>
      <c r="T807" s="40"/>
    </row>
    <row r="808" spans="1:20" ht="15.75">
      <c r="A808" s="13">
        <v>65745</v>
      </c>
      <c r="B808" s="48">
        <f t="shared" si="3"/>
        <v>31</v>
      </c>
      <c r="C808" s="39">
        <v>122.58</v>
      </c>
      <c r="D808" s="39">
        <v>297.94099999999997</v>
      </c>
      <c r="E808" s="45">
        <v>729.47900000000004</v>
      </c>
      <c r="F808" s="39">
        <v>1150</v>
      </c>
      <c r="G808" s="39">
        <v>100</v>
      </c>
      <c r="H808" s="47">
        <v>600</v>
      </c>
      <c r="I808" s="39">
        <v>695</v>
      </c>
      <c r="J808" s="39">
        <v>50</v>
      </c>
      <c r="K808" s="40"/>
      <c r="L808" s="40"/>
      <c r="M808" s="40"/>
      <c r="N808" s="40"/>
      <c r="O808" s="40"/>
      <c r="P808" s="40"/>
      <c r="Q808" s="40"/>
      <c r="R808" s="40"/>
      <c r="S808" s="40"/>
      <c r="T808" s="40"/>
    </row>
    <row r="809" spans="1:20" ht="15.75">
      <c r="A809" s="13">
        <v>65776</v>
      </c>
      <c r="B809" s="48">
        <f t="shared" si="3"/>
        <v>31</v>
      </c>
      <c r="C809" s="39">
        <v>122.58</v>
      </c>
      <c r="D809" s="39">
        <v>297.94099999999997</v>
      </c>
      <c r="E809" s="45">
        <v>729.47900000000004</v>
      </c>
      <c r="F809" s="39">
        <v>1150</v>
      </c>
      <c r="G809" s="39">
        <v>100</v>
      </c>
      <c r="H809" s="47">
        <v>600</v>
      </c>
      <c r="I809" s="39">
        <v>695</v>
      </c>
      <c r="J809" s="39">
        <v>50</v>
      </c>
      <c r="K809" s="40"/>
      <c r="L809" s="40"/>
      <c r="M809" s="40"/>
      <c r="N809" s="40"/>
      <c r="O809" s="40"/>
      <c r="P809" s="40"/>
      <c r="Q809" s="40"/>
      <c r="R809" s="40"/>
      <c r="S809" s="40"/>
      <c r="T809" s="40"/>
    </row>
    <row r="810" spans="1:20" ht="15.75">
      <c r="A810" s="13">
        <v>65805</v>
      </c>
      <c r="B810" s="48">
        <f t="shared" si="3"/>
        <v>29</v>
      </c>
      <c r="C810" s="39">
        <v>122.58</v>
      </c>
      <c r="D810" s="39">
        <v>297.94099999999997</v>
      </c>
      <c r="E810" s="45">
        <v>729.47900000000004</v>
      </c>
      <c r="F810" s="39">
        <v>1150</v>
      </c>
      <c r="G810" s="39">
        <v>100</v>
      </c>
      <c r="H810" s="47">
        <v>600</v>
      </c>
      <c r="I810" s="39">
        <v>695</v>
      </c>
      <c r="J810" s="39">
        <v>50</v>
      </c>
      <c r="K810" s="40"/>
      <c r="L810" s="40"/>
      <c r="M810" s="40"/>
      <c r="N810" s="40"/>
      <c r="O810" s="40"/>
      <c r="P810" s="40"/>
      <c r="Q810" s="40"/>
      <c r="R810" s="40"/>
      <c r="S810" s="40"/>
      <c r="T810" s="40"/>
    </row>
    <row r="811" spans="1:20" ht="15.75">
      <c r="A811" s="13">
        <v>65836</v>
      </c>
      <c r="B811" s="48">
        <f t="shared" si="3"/>
        <v>31</v>
      </c>
      <c r="C811" s="39">
        <v>122.58</v>
      </c>
      <c r="D811" s="39">
        <v>297.94099999999997</v>
      </c>
      <c r="E811" s="45">
        <v>729.47900000000004</v>
      </c>
      <c r="F811" s="39">
        <v>1150</v>
      </c>
      <c r="G811" s="39">
        <v>100</v>
      </c>
      <c r="H811" s="47">
        <v>600</v>
      </c>
      <c r="I811" s="39">
        <v>695</v>
      </c>
      <c r="J811" s="39">
        <v>50</v>
      </c>
      <c r="K811" s="40"/>
      <c r="L811" s="40"/>
      <c r="M811" s="40"/>
      <c r="N811" s="40"/>
      <c r="O811" s="40"/>
      <c r="P811" s="40"/>
      <c r="Q811" s="40"/>
      <c r="R811" s="40"/>
      <c r="S811" s="40"/>
      <c r="T811" s="40"/>
    </row>
    <row r="812" spans="1:20" ht="15.75">
      <c r="A812" s="13">
        <v>65866</v>
      </c>
      <c r="B812" s="48">
        <f t="shared" si="3"/>
        <v>30</v>
      </c>
      <c r="C812" s="39">
        <v>141.29300000000001</v>
      </c>
      <c r="D812" s="39">
        <v>267.99299999999999</v>
      </c>
      <c r="E812" s="45">
        <v>829.71400000000006</v>
      </c>
      <c r="F812" s="39">
        <v>1239</v>
      </c>
      <c r="G812" s="39">
        <v>100</v>
      </c>
      <c r="H812" s="47">
        <v>600</v>
      </c>
      <c r="I812" s="39">
        <v>695</v>
      </c>
      <c r="J812" s="39">
        <v>50</v>
      </c>
      <c r="K812" s="40"/>
      <c r="L812" s="40"/>
      <c r="M812" s="40"/>
      <c r="N812" s="40"/>
      <c r="O812" s="40"/>
      <c r="P812" s="40"/>
      <c r="Q812" s="40"/>
      <c r="R812" s="40"/>
      <c r="S812" s="40"/>
      <c r="T812" s="40"/>
    </row>
    <row r="813" spans="1:20" ht="15.75">
      <c r="A813" s="13">
        <v>65897</v>
      </c>
      <c r="B813" s="48">
        <f t="shared" si="3"/>
        <v>31</v>
      </c>
      <c r="C813" s="39">
        <v>194.20500000000001</v>
      </c>
      <c r="D813" s="39">
        <v>267.46600000000001</v>
      </c>
      <c r="E813" s="45">
        <v>812.32899999999995</v>
      </c>
      <c r="F813" s="39">
        <v>1274</v>
      </c>
      <c r="G813" s="39">
        <v>75</v>
      </c>
      <c r="H813" s="47">
        <v>600</v>
      </c>
      <c r="I813" s="39">
        <v>695</v>
      </c>
      <c r="J813" s="39">
        <v>50</v>
      </c>
      <c r="K813" s="40"/>
      <c r="L813" s="40"/>
      <c r="M813" s="40"/>
      <c r="N813" s="40"/>
      <c r="O813" s="40"/>
      <c r="P813" s="40"/>
      <c r="Q813" s="40"/>
      <c r="R813" s="40"/>
      <c r="S813" s="40"/>
      <c r="T813" s="40"/>
    </row>
    <row r="814" spans="1:20" ht="15.75">
      <c r="A814" s="13">
        <v>65927</v>
      </c>
      <c r="B814" s="48">
        <f t="shared" si="3"/>
        <v>30</v>
      </c>
      <c r="C814" s="39">
        <v>194.20500000000001</v>
      </c>
      <c r="D814" s="39">
        <v>267.46600000000001</v>
      </c>
      <c r="E814" s="45">
        <v>812.32899999999995</v>
      </c>
      <c r="F814" s="39">
        <v>1274</v>
      </c>
      <c r="G814" s="39">
        <v>50</v>
      </c>
      <c r="H814" s="47">
        <v>600</v>
      </c>
      <c r="I814" s="39">
        <v>695</v>
      </c>
      <c r="J814" s="39">
        <v>50</v>
      </c>
      <c r="K814" s="40"/>
      <c r="L814" s="40"/>
      <c r="M814" s="40"/>
      <c r="N814" s="40"/>
      <c r="O814" s="40"/>
      <c r="P814" s="40"/>
      <c r="Q814" s="40"/>
      <c r="R814" s="40"/>
      <c r="S814" s="40"/>
      <c r="T814" s="40"/>
    </row>
    <row r="815" spans="1:20" ht="15.75">
      <c r="A815" s="13">
        <v>65958</v>
      </c>
      <c r="B815" s="48">
        <f t="shared" si="3"/>
        <v>31</v>
      </c>
      <c r="C815" s="39">
        <v>194.20500000000001</v>
      </c>
      <c r="D815" s="39">
        <v>267.46600000000001</v>
      </c>
      <c r="E815" s="45">
        <v>812.32899999999995</v>
      </c>
      <c r="F815" s="39">
        <v>1274</v>
      </c>
      <c r="G815" s="39">
        <v>50</v>
      </c>
      <c r="H815" s="47">
        <v>600</v>
      </c>
      <c r="I815" s="39">
        <v>695</v>
      </c>
      <c r="J815" s="39">
        <v>0</v>
      </c>
      <c r="K815" s="40"/>
      <c r="L815" s="40"/>
      <c r="M815" s="40"/>
      <c r="N815" s="40"/>
      <c r="O815" s="40"/>
      <c r="P815" s="40"/>
      <c r="Q815" s="40"/>
      <c r="R815" s="40"/>
      <c r="S815" s="40"/>
      <c r="T815" s="40"/>
    </row>
    <row r="816" spans="1:20" ht="15.75">
      <c r="A816" s="13">
        <v>65989</v>
      </c>
      <c r="B816" s="48">
        <f t="shared" si="3"/>
        <v>31</v>
      </c>
      <c r="C816" s="39">
        <v>194.20500000000001</v>
      </c>
      <c r="D816" s="39">
        <v>267.46600000000001</v>
      </c>
      <c r="E816" s="45">
        <v>812.32899999999995</v>
      </c>
      <c r="F816" s="39">
        <v>1274</v>
      </c>
      <c r="G816" s="39">
        <v>50</v>
      </c>
      <c r="H816" s="47">
        <v>600</v>
      </c>
      <c r="I816" s="39">
        <v>695</v>
      </c>
      <c r="J816" s="39">
        <v>0</v>
      </c>
      <c r="K816" s="40"/>
      <c r="L816" s="40"/>
      <c r="M816" s="40"/>
      <c r="N816" s="40"/>
      <c r="O816" s="40"/>
      <c r="P816" s="40"/>
      <c r="Q816" s="40"/>
      <c r="R816" s="40"/>
      <c r="S816" s="40"/>
      <c r="T816" s="40"/>
    </row>
    <row r="817" spans="1:20" ht="15.75">
      <c r="A817" s="13">
        <v>66019</v>
      </c>
      <c r="B817" s="48">
        <f t="shared" si="3"/>
        <v>30</v>
      </c>
      <c r="C817" s="39">
        <v>194.20500000000001</v>
      </c>
      <c r="D817" s="39">
        <v>267.46600000000001</v>
      </c>
      <c r="E817" s="45">
        <v>812.32899999999995</v>
      </c>
      <c r="F817" s="39">
        <v>1274</v>
      </c>
      <c r="G817" s="39">
        <v>50</v>
      </c>
      <c r="H817" s="47">
        <v>600</v>
      </c>
      <c r="I817" s="39">
        <v>695</v>
      </c>
      <c r="J817" s="39">
        <v>0</v>
      </c>
      <c r="K817" s="40"/>
      <c r="L817" s="40"/>
      <c r="M817" s="40"/>
      <c r="N817" s="40"/>
      <c r="O817" s="40"/>
      <c r="P817" s="40"/>
      <c r="Q817" s="40"/>
      <c r="R817" s="40"/>
      <c r="S817" s="40"/>
      <c r="T817" s="40"/>
    </row>
    <row r="818" spans="1:20" ht="15.75">
      <c r="A818" s="13">
        <v>66050</v>
      </c>
      <c r="B818" s="48">
        <f t="shared" si="3"/>
        <v>31</v>
      </c>
      <c r="C818" s="39">
        <v>131.881</v>
      </c>
      <c r="D818" s="39">
        <v>277.16699999999997</v>
      </c>
      <c r="E818" s="45">
        <v>829.952</v>
      </c>
      <c r="F818" s="39">
        <v>1239</v>
      </c>
      <c r="G818" s="39">
        <v>75</v>
      </c>
      <c r="H818" s="47">
        <v>600</v>
      </c>
      <c r="I818" s="39">
        <v>695</v>
      </c>
      <c r="J818" s="39">
        <v>0</v>
      </c>
      <c r="K818" s="40"/>
      <c r="L818" s="40"/>
      <c r="M818" s="40"/>
      <c r="N818" s="40"/>
      <c r="O818" s="40"/>
      <c r="P818" s="40"/>
      <c r="Q818" s="40"/>
      <c r="R818" s="40"/>
      <c r="S818" s="40"/>
      <c r="T818" s="40"/>
    </row>
    <row r="819" spans="1:20" ht="15.75">
      <c r="A819" s="13">
        <v>66080</v>
      </c>
      <c r="B819" s="48">
        <f t="shared" si="3"/>
        <v>30</v>
      </c>
      <c r="C819" s="39">
        <v>122.58</v>
      </c>
      <c r="D819" s="39">
        <v>297.94099999999997</v>
      </c>
      <c r="E819" s="45">
        <v>729.47900000000004</v>
      </c>
      <c r="F819" s="39">
        <v>1150</v>
      </c>
      <c r="G819" s="39">
        <v>100</v>
      </c>
      <c r="H819" s="47">
        <v>600</v>
      </c>
      <c r="I819" s="39">
        <v>695</v>
      </c>
      <c r="J819" s="39">
        <v>50</v>
      </c>
      <c r="K819" s="40"/>
      <c r="L819" s="40"/>
      <c r="M819" s="40"/>
      <c r="N819" s="40"/>
      <c r="O819" s="40"/>
      <c r="P819" s="40"/>
      <c r="Q819" s="40"/>
      <c r="R819" s="40"/>
      <c r="S819" s="40"/>
      <c r="T819" s="40"/>
    </row>
    <row r="820" spans="1:20" ht="15.75">
      <c r="A820" s="13">
        <v>66111</v>
      </c>
      <c r="B820" s="48">
        <f t="shared" si="3"/>
        <v>31</v>
      </c>
      <c r="C820" s="39">
        <v>122.58</v>
      </c>
      <c r="D820" s="39">
        <v>297.94099999999997</v>
      </c>
      <c r="E820" s="45">
        <v>729.47900000000004</v>
      </c>
      <c r="F820" s="39">
        <v>1150</v>
      </c>
      <c r="G820" s="39">
        <v>100</v>
      </c>
      <c r="H820" s="47">
        <v>600</v>
      </c>
      <c r="I820" s="39">
        <v>695</v>
      </c>
      <c r="J820" s="39">
        <v>50</v>
      </c>
      <c r="K820" s="40"/>
      <c r="L820" s="40"/>
      <c r="M820" s="40"/>
      <c r="N820" s="40"/>
      <c r="O820" s="40"/>
      <c r="P820" s="40"/>
      <c r="Q820" s="40"/>
      <c r="R820" s="40"/>
      <c r="S820" s="40"/>
      <c r="T820" s="40"/>
    </row>
    <row r="821" spans="1:20" ht="15.75">
      <c r="A821" s="13">
        <v>66142</v>
      </c>
      <c r="B821" s="48">
        <f t="shared" si="3"/>
        <v>31</v>
      </c>
      <c r="C821" s="39">
        <v>122.58</v>
      </c>
      <c r="D821" s="39">
        <v>297.94099999999997</v>
      </c>
      <c r="E821" s="45">
        <v>729.47900000000004</v>
      </c>
      <c r="F821" s="39">
        <v>1150</v>
      </c>
      <c r="G821" s="39">
        <v>100</v>
      </c>
      <c r="H821" s="47">
        <v>600</v>
      </c>
      <c r="I821" s="39">
        <v>695</v>
      </c>
      <c r="J821" s="39">
        <v>50</v>
      </c>
      <c r="K821" s="40"/>
      <c r="L821" s="40"/>
      <c r="M821" s="40"/>
      <c r="N821" s="40"/>
      <c r="O821" s="40"/>
      <c r="P821" s="40"/>
      <c r="Q821" s="40"/>
      <c r="R821" s="40"/>
      <c r="S821" s="40"/>
      <c r="T821" s="40"/>
    </row>
    <row r="822" spans="1:20" ht="15.75">
      <c r="A822" s="13">
        <v>66170</v>
      </c>
      <c r="B822" s="48">
        <f t="shared" si="3"/>
        <v>28</v>
      </c>
      <c r="C822" s="39">
        <v>122.58</v>
      </c>
      <c r="D822" s="39">
        <v>297.94099999999997</v>
      </c>
      <c r="E822" s="45">
        <v>729.47900000000004</v>
      </c>
      <c r="F822" s="39">
        <v>1150</v>
      </c>
      <c r="G822" s="39">
        <v>100</v>
      </c>
      <c r="H822" s="47">
        <v>600</v>
      </c>
      <c r="I822" s="39">
        <v>695</v>
      </c>
      <c r="J822" s="39">
        <v>50</v>
      </c>
      <c r="K822" s="40"/>
      <c r="L822" s="40"/>
      <c r="M822" s="40"/>
      <c r="N822" s="40"/>
      <c r="O822" s="40"/>
      <c r="P822" s="40"/>
      <c r="Q822" s="40"/>
      <c r="R822" s="40"/>
      <c r="S822" s="40"/>
      <c r="T822" s="40"/>
    </row>
    <row r="823" spans="1:20" ht="15.75">
      <c r="A823" s="13">
        <v>66201</v>
      </c>
      <c r="B823" s="48">
        <f t="shared" si="3"/>
        <v>31</v>
      </c>
      <c r="C823" s="39">
        <v>122.58</v>
      </c>
      <c r="D823" s="39">
        <v>297.94099999999997</v>
      </c>
      <c r="E823" s="45">
        <v>729.47900000000004</v>
      </c>
      <c r="F823" s="39">
        <v>1150</v>
      </c>
      <c r="G823" s="39">
        <v>100</v>
      </c>
      <c r="H823" s="47">
        <v>600</v>
      </c>
      <c r="I823" s="39">
        <v>695</v>
      </c>
      <c r="J823" s="39">
        <v>50</v>
      </c>
      <c r="K823" s="40"/>
      <c r="L823" s="40"/>
      <c r="M823" s="40"/>
      <c r="N823" s="40"/>
      <c r="O823" s="40"/>
      <c r="P823" s="40"/>
      <c r="Q823" s="40"/>
      <c r="R823" s="40"/>
      <c r="S823" s="40"/>
      <c r="T823" s="40"/>
    </row>
    <row r="824" spans="1:20" ht="15.75">
      <c r="A824" s="13">
        <v>66231</v>
      </c>
      <c r="B824" s="48">
        <f t="shared" si="3"/>
        <v>30</v>
      </c>
      <c r="C824" s="39">
        <v>141.29300000000001</v>
      </c>
      <c r="D824" s="39">
        <v>267.99299999999999</v>
      </c>
      <c r="E824" s="45">
        <v>829.71400000000006</v>
      </c>
      <c r="F824" s="39">
        <v>1239</v>
      </c>
      <c r="G824" s="39">
        <v>100</v>
      </c>
      <c r="H824" s="47">
        <v>600</v>
      </c>
      <c r="I824" s="39">
        <v>695</v>
      </c>
      <c r="J824" s="39">
        <v>50</v>
      </c>
      <c r="K824" s="40"/>
      <c r="L824" s="40"/>
      <c r="M824" s="40"/>
      <c r="N824" s="40"/>
      <c r="O824" s="40"/>
      <c r="P824" s="40"/>
      <c r="Q824" s="40"/>
      <c r="R824" s="40"/>
      <c r="S824" s="40"/>
      <c r="T824" s="40"/>
    </row>
    <row r="825" spans="1:20" ht="15.75">
      <c r="A825" s="13">
        <v>66262</v>
      </c>
      <c r="B825" s="48">
        <f t="shared" si="3"/>
        <v>31</v>
      </c>
      <c r="C825" s="39">
        <v>194.20500000000001</v>
      </c>
      <c r="D825" s="39">
        <v>267.46600000000001</v>
      </c>
      <c r="E825" s="45">
        <v>812.32899999999995</v>
      </c>
      <c r="F825" s="39">
        <v>1274</v>
      </c>
      <c r="G825" s="39">
        <v>75</v>
      </c>
      <c r="H825" s="47">
        <v>600</v>
      </c>
      <c r="I825" s="39">
        <v>695</v>
      </c>
      <c r="J825" s="39">
        <v>50</v>
      </c>
      <c r="K825" s="40"/>
      <c r="L825" s="40"/>
      <c r="M825" s="40"/>
      <c r="N825" s="40"/>
      <c r="O825" s="40"/>
      <c r="P825" s="40"/>
      <c r="Q825" s="40"/>
      <c r="R825" s="40"/>
      <c r="S825" s="40"/>
      <c r="T825" s="40"/>
    </row>
    <row r="826" spans="1:20" ht="15.75">
      <c r="A826" s="13">
        <v>66292</v>
      </c>
      <c r="B826" s="48">
        <f t="shared" si="3"/>
        <v>30</v>
      </c>
      <c r="C826" s="39">
        <v>194.20500000000001</v>
      </c>
      <c r="D826" s="39">
        <v>267.46600000000001</v>
      </c>
      <c r="E826" s="45">
        <v>812.32899999999995</v>
      </c>
      <c r="F826" s="39">
        <v>1274</v>
      </c>
      <c r="G826" s="39">
        <v>50</v>
      </c>
      <c r="H826" s="47">
        <v>600</v>
      </c>
      <c r="I826" s="39">
        <v>695</v>
      </c>
      <c r="J826" s="39">
        <v>50</v>
      </c>
      <c r="K826" s="40"/>
      <c r="L826" s="40"/>
      <c r="M826" s="40"/>
      <c r="N826" s="40"/>
      <c r="O826" s="40"/>
      <c r="P826" s="40"/>
      <c r="Q826" s="40"/>
      <c r="R826" s="40"/>
      <c r="S826" s="40"/>
      <c r="T826" s="40"/>
    </row>
    <row r="827" spans="1:20" ht="15.75">
      <c r="A827" s="13">
        <v>66323</v>
      </c>
      <c r="B827" s="48">
        <f t="shared" si="3"/>
        <v>31</v>
      </c>
      <c r="C827" s="39">
        <v>194.20500000000001</v>
      </c>
      <c r="D827" s="39">
        <v>267.46600000000001</v>
      </c>
      <c r="E827" s="45">
        <v>812.32899999999995</v>
      </c>
      <c r="F827" s="39">
        <v>1274</v>
      </c>
      <c r="G827" s="39">
        <v>50</v>
      </c>
      <c r="H827" s="47">
        <v>600</v>
      </c>
      <c r="I827" s="39">
        <v>695</v>
      </c>
      <c r="J827" s="39">
        <v>0</v>
      </c>
      <c r="K827" s="40"/>
      <c r="L827" s="40"/>
      <c r="M827" s="40"/>
      <c r="N827" s="40"/>
      <c r="O827" s="40"/>
      <c r="P827" s="40"/>
      <c r="Q827" s="40"/>
      <c r="R827" s="40"/>
      <c r="S827" s="40"/>
      <c r="T827" s="40"/>
    </row>
    <row r="828" spans="1:20" ht="15.75">
      <c r="A828" s="13">
        <v>66354</v>
      </c>
      <c r="B828" s="48">
        <f t="shared" si="3"/>
        <v>31</v>
      </c>
      <c r="C828" s="39">
        <v>194.20500000000001</v>
      </c>
      <c r="D828" s="39">
        <v>267.46600000000001</v>
      </c>
      <c r="E828" s="45">
        <v>812.32899999999995</v>
      </c>
      <c r="F828" s="39">
        <v>1274</v>
      </c>
      <c r="G828" s="39">
        <v>50</v>
      </c>
      <c r="H828" s="47">
        <v>600</v>
      </c>
      <c r="I828" s="39">
        <v>695</v>
      </c>
      <c r="J828" s="39">
        <v>0</v>
      </c>
      <c r="K828" s="40"/>
      <c r="L828" s="40"/>
      <c r="M828" s="40"/>
      <c r="N828" s="40"/>
      <c r="O828" s="40"/>
      <c r="P828" s="40"/>
      <c r="Q828" s="40"/>
      <c r="R828" s="40"/>
      <c r="S828" s="40"/>
      <c r="T828" s="40"/>
    </row>
    <row r="829" spans="1:20" ht="15.75">
      <c r="A829" s="13">
        <v>66384</v>
      </c>
      <c r="B829" s="48">
        <f t="shared" si="3"/>
        <v>30</v>
      </c>
      <c r="C829" s="39">
        <v>194.20500000000001</v>
      </c>
      <c r="D829" s="39">
        <v>267.46600000000001</v>
      </c>
      <c r="E829" s="45">
        <v>812.32899999999995</v>
      </c>
      <c r="F829" s="39">
        <v>1274</v>
      </c>
      <c r="G829" s="39">
        <v>50</v>
      </c>
      <c r="H829" s="47">
        <v>600</v>
      </c>
      <c r="I829" s="39">
        <v>695</v>
      </c>
      <c r="J829" s="39">
        <v>0</v>
      </c>
      <c r="K829" s="40"/>
      <c r="L829" s="40"/>
      <c r="M829" s="40"/>
      <c r="N829" s="40"/>
      <c r="O829" s="40"/>
      <c r="P829" s="40"/>
      <c r="Q829" s="40"/>
      <c r="R829" s="40"/>
      <c r="S829" s="40"/>
      <c r="T829" s="40"/>
    </row>
    <row r="830" spans="1:20" ht="15.75">
      <c r="A830" s="13">
        <v>66415</v>
      </c>
      <c r="B830" s="48">
        <f t="shared" si="3"/>
        <v>31</v>
      </c>
      <c r="C830" s="39">
        <v>131.881</v>
      </c>
      <c r="D830" s="39">
        <v>277.16699999999997</v>
      </c>
      <c r="E830" s="45">
        <v>829.952</v>
      </c>
      <c r="F830" s="39">
        <v>1239</v>
      </c>
      <c r="G830" s="39">
        <v>75</v>
      </c>
      <c r="H830" s="47">
        <v>600</v>
      </c>
      <c r="I830" s="39">
        <v>695</v>
      </c>
      <c r="J830" s="39">
        <v>0</v>
      </c>
      <c r="K830" s="40"/>
      <c r="L830" s="40"/>
      <c r="M830" s="40"/>
      <c r="N830" s="40"/>
      <c r="O830" s="40"/>
      <c r="P830" s="40"/>
      <c r="Q830" s="40"/>
      <c r="R830" s="40"/>
      <c r="S830" s="40"/>
      <c r="T830" s="40"/>
    </row>
    <row r="831" spans="1:20" ht="15.75">
      <c r="A831" s="13">
        <v>66445</v>
      </c>
      <c r="B831" s="48">
        <f t="shared" si="3"/>
        <v>30</v>
      </c>
      <c r="C831" s="39">
        <v>122.58</v>
      </c>
      <c r="D831" s="39">
        <v>297.94099999999997</v>
      </c>
      <c r="E831" s="45">
        <v>729.47900000000004</v>
      </c>
      <c r="F831" s="39">
        <v>1150</v>
      </c>
      <c r="G831" s="39">
        <v>100</v>
      </c>
      <c r="H831" s="47">
        <v>600</v>
      </c>
      <c r="I831" s="39">
        <v>695</v>
      </c>
      <c r="J831" s="39">
        <v>50</v>
      </c>
      <c r="K831" s="40"/>
      <c r="L831" s="40"/>
      <c r="M831" s="40"/>
      <c r="N831" s="40"/>
      <c r="O831" s="40"/>
      <c r="P831" s="40"/>
      <c r="Q831" s="40"/>
      <c r="R831" s="40"/>
      <c r="S831" s="40"/>
      <c r="T831" s="40"/>
    </row>
    <row r="832" spans="1:20" ht="15.75">
      <c r="A832" s="13">
        <v>66476</v>
      </c>
      <c r="B832" s="48">
        <f t="shared" si="3"/>
        <v>31</v>
      </c>
      <c r="C832" s="39">
        <v>122.58</v>
      </c>
      <c r="D832" s="39">
        <v>297.94099999999997</v>
      </c>
      <c r="E832" s="45">
        <v>729.47900000000004</v>
      </c>
      <c r="F832" s="39">
        <v>1150</v>
      </c>
      <c r="G832" s="39">
        <v>100</v>
      </c>
      <c r="H832" s="47">
        <v>600</v>
      </c>
      <c r="I832" s="39">
        <v>695</v>
      </c>
      <c r="J832" s="39">
        <v>50</v>
      </c>
      <c r="K832" s="40"/>
      <c r="L832" s="40"/>
      <c r="M832" s="40"/>
      <c r="N832" s="40"/>
      <c r="O832" s="40"/>
      <c r="P832" s="40"/>
      <c r="Q832" s="40"/>
      <c r="R832" s="40"/>
      <c r="S832" s="40"/>
      <c r="T832" s="40"/>
    </row>
    <row r="833" spans="1:20" ht="15.75">
      <c r="A833" s="13">
        <v>66507</v>
      </c>
      <c r="B833" s="48">
        <f t="shared" si="3"/>
        <v>31</v>
      </c>
      <c r="C833" s="39">
        <v>122.58</v>
      </c>
      <c r="D833" s="39">
        <v>297.94099999999997</v>
      </c>
      <c r="E833" s="45">
        <v>729.47900000000004</v>
      </c>
      <c r="F833" s="39">
        <v>1150</v>
      </c>
      <c r="G833" s="39">
        <v>100</v>
      </c>
      <c r="H833" s="47">
        <v>600</v>
      </c>
      <c r="I833" s="39">
        <v>695</v>
      </c>
      <c r="J833" s="39">
        <v>50</v>
      </c>
      <c r="K833" s="40"/>
      <c r="L833" s="40"/>
      <c r="M833" s="40"/>
      <c r="N833" s="40"/>
      <c r="O833" s="40"/>
      <c r="P833" s="40"/>
      <c r="Q833" s="40"/>
      <c r="R833" s="40"/>
      <c r="S833" s="40"/>
      <c r="T833" s="40"/>
    </row>
    <row r="834" spans="1:20" ht="15.75">
      <c r="A834" s="13">
        <v>66535</v>
      </c>
      <c r="B834" s="48">
        <f t="shared" si="3"/>
        <v>28</v>
      </c>
      <c r="C834" s="39">
        <v>122.58</v>
      </c>
      <c r="D834" s="39">
        <v>297.94099999999997</v>
      </c>
      <c r="E834" s="45">
        <v>729.47900000000004</v>
      </c>
      <c r="F834" s="39">
        <v>1150</v>
      </c>
      <c r="G834" s="39">
        <v>100</v>
      </c>
      <c r="H834" s="47">
        <v>600</v>
      </c>
      <c r="I834" s="39">
        <v>695</v>
      </c>
      <c r="J834" s="39">
        <v>50</v>
      </c>
      <c r="K834" s="40"/>
      <c r="L834" s="40"/>
      <c r="M834" s="40"/>
      <c r="N834" s="40"/>
      <c r="O834" s="40"/>
      <c r="P834" s="40"/>
      <c r="Q834" s="40"/>
      <c r="R834" s="40"/>
      <c r="S834" s="40"/>
      <c r="T834" s="40"/>
    </row>
    <row r="835" spans="1:20" ht="15.75">
      <c r="A835" s="13">
        <v>66566</v>
      </c>
      <c r="B835" s="48">
        <f t="shared" si="3"/>
        <v>31</v>
      </c>
      <c r="C835" s="39">
        <v>122.58</v>
      </c>
      <c r="D835" s="39">
        <v>297.94099999999997</v>
      </c>
      <c r="E835" s="45">
        <v>729.47900000000004</v>
      </c>
      <c r="F835" s="39">
        <v>1150</v>
      </c>
      <c r="G835" s="39">
        <v>100</v>
      </c>
      <c r="H835" s="47">
        <v>600</v>
      </c>
      <c r="I835" s="39">
        <v>695</v>
      </c>
      <c r="J835" s="39">
        <v>50</v>
      </c>
      <c r="K835" s="40"/>
      <c r="L835" s="40"/>
      <c r="M835" s="40"/>
      <c r="N835" s="40"/>
      <c r="O835" s="40"/>
      <c r="P835" s="40"/>
      <c r="Q835" s="40"/>
      <c r="R835" s="40"/>
      <c r="S835" s="40"/>
      <c r="T835" s="40"/>
    </row>
    <row r="836" spans="1:20" ht="15.75">
      <c r="A836" s="13">
        <v>66596</v>
      </c>
      <c r="B836" s="48">
        <f t="shared" si="3"/>
        <v>30</v>
      </c>
      <c r="C836" s="39">
        <v>141.29300000000001</v>
      </c>
      <c r="D836" s="39">
        <v>267.99299999999999</v>
      </c>
      <c r="E836" s="45">
        <v>829.71400000000006</v>
      </c>
      <c r="F836" s="39">
        <v>1239</v>
      </c>
      <c r="G836" s="39">
        <v>100</v>
      </c>
      <c r="H836" s="47">
        <v>600</v>
      </c>
      <c r="I836" s="39">
        <v>695</v>
      </c>
      <c r="J836" s="39">
        <v>50</v>
      </c>
      <c r="K836" s="40"/>
      <c r="L836" s="40"/>
      <c r="M836" s="40"/>
      <c r="N836" s="40"/>
      <c r="O836" s="40"/>
      <c r="P836" s="40"/>
      <c r="Q836" s="40"/>
      <c r="R836" s="40"/>
      <c r="S836" s="40"/>
      <c r="T836" s="40"/>
    </row>
    <row r="837" spans="1:20" ht="15.75">
      <c r="A837" s="13">
        <v>66627</v>
      </c>
      <c r="B837" s="48">
        <f t="shared" si="3"/>
        <v>31</v>
      </c>
      <c r="C837" s="39">
        <v>194.20500000000001</v>
      </c>
      <c r="D837" s="39">
        <v>267.46600000000001</v>
      </c>
      <c r="E837" s="45">
        <v>812.32899999999995</v>
      </c>
      <c r="F837" s="39">
        <v>1274</v>
      </c>
      <c r="G837" s="39">
        <v>75</v>
      </c>
      <c r="H837" s="47">
        <v>600</v>
      </c>
      <c r="I837" s="39">
        <v>695</v>
      </c>
      <c r="J837" s="39">
        <v>50</v>
      </c>
      <c r="K837" s="40"/>
      <c r="L837" s="40"/>
      <c r="M837" s="40"/>
      <c r="N837" s="40"/>
      <c r="O837" s="40"/>
      <c r="P837" s="40"/>
      <c r="Q837" s="40"/>
      <c r="R837" s="40"/>
      <c r="S837" s="40"/>
      <c r="T837" s="40"/>
    </row>
    <row r="838" spans="1:20" ht="15.75">
      <c r="A838" s="13">
        <v>66657</v>
      </c>
      <c r="B838" s="48">
        <f t="shared" si="3"/>
        <v>30</v>
      </c>
      <c r="C838" s="39">
        <v>194.20500000000001</v>
      </c>
      <c r="D838" s="39">
        <v>267.46600000000001</v>
      </c>
      <c r="E838" s="45">
        <v>812.32899999999995</v>
      </c>
      <c r="F838" s="39">
        <v>1274</v>
      </c>
      <c r="G838" s="39">
        <v>50</v>
      </c>
      <c r="H838" s="47">
        <v>600</v>
      </c>
      <c r="I838" s="39">
        <v>695</v>
      </c>
      <c r="J838" s="39">
        <v>50</v>
      </c>
      <c r="K838" s="40"/>
      <c r="L838" s="40"/>
      <c r="M838" s="40"/>
      <c r="N838" s="40"/>
      <c r="O838" s="40"/>
      <c r="P838" s="40"/>
      <c r="Q838" s="40"/>
      <c r="R838" s="40"/>
      <c r="S838" s="40"/>
      <c r="T838" s="40"/>
    </row>
    <row r="839" spans="1:20" ht="15.75">
      <c r="A839" s="13">
        <v>66688</v>
      </c>
      <c r="B839" s="48">
        <f t="shared" si="3"/>
        <v>31</v>
      </c>
      <c r="C839" s="39">
        <v>194.20500000000001</v>
      </c>
      <c r="D839" s="39">
        <v>267.46600000000001</v>
      </c>
      <c r="E839" s="45">
        <v>812.32899999999995</v>
      </c>
      <c r="F839" s="39">
        <v>1274</v>
      </c>
      <c r="G839" s="39">
        <v>50</v>
      </c>
      <c r="H839" s="47">
        <v>600</v>
      </c>
      <c r="I839" s="39">
        <v>695</v>
      </c>
      <c r="J839" s="39">
        <v>0</v>
      </c>
      <c r="K839" s="40"/>
      <c r="L839" s="40"/>
      <c r="M839" s="40"/>
      <c r="N839" s="40"/>
      <c r="O839" s="40"/>
      <c r="P839" s="40"/>
      <c r="Q839" s="40"/>
      <c r="R839" s="40"/>
      <c r="S839" s="40"/>
      <c r="T839" s="40"/>
    </row>
    <row r="840" spans="1:20" ht="15.75">
      <c r="A840" s="13">
        <v>66719</v>
      </c>
      <c r="B840" s="48">
        <f t="shared" si="3"/>
        <v>31</v>
      </c>
      <c r="C840" s="39">
        <v>194.20500000000001</v>
      </c>
      <c r="D840" s="39">
        <v>267.46600000000001</v>
      </c>
      <c r="E840" s="45">
        <v>812.32899999999995</v>
      </c>
      <c r="F840" s="39">
        <v>1274</v>
      </c>
      <c r="G840" s="39">
        <v>50</v>
      </c>
      <c r="H840" s="47">
        <v>600</v>
      </c>
      <c r="I840" s="39">
        <v>695</v>
      </c>
      <c r="J840" s="39">
        <v>0</v>
      </c>
      <c r="K840" s="40"/>
      <c r="L840" s="40"/>
      <c r="M840" s="40"/>
      <c r="N840" s="40"/>
      <c r="O840" s="40"/>
      <c r="P840" s="40"/>
      <c r="Q840" s="40"/>
      <c r="R840" s="40"/>
      <c r="S840" s="40"/>
      <c r="T840" s="40"/>
    </row>
    <row r="841" spans="1:20" ht="15.75">
      <c r="A841" s="13">
        <v>66749</v>
      </c>
      <c r="B841" s="48">
        <f t="shared" si="3"/>
        <v>30</v>
      </c>
      <c r="C841" s="39">
        <v>194.20500000000001</v>
      </c>
      <c r="D841" s="39">
        <v>267.46600000000001</v>
      </c>
      <c r="E841" s="45">
        <v>812.32899999999995</v>
      </c>
      <c r="F841" s="39">
        <v>1274</v>
      </c>
      <c r="G841" s="39">
        <v>50</v>
      </c>
      <c r="H841" s="47">
        <v>600</v>
      </c>
      <c r="I841" s="39">
        <v>695</v>
      </c>
      <c r="J841" s="39">
        <v>0</v>
      </c>
      <c r="K841" s="40"/>
      <c r="L841" s="40"/>
      <c r="M841" s="40"/>
      <c r="N841" s="40"/>
      <c r="O841" s="40"/>
      <c r="P841" s="40"/>
      <c r="Q841" s="40"/>
      <c r="R841" s="40"/>
      <c r="S841" s="40"/>
      <c r="T841" s="40"/>
    </row>
    <row r="842" spans="1:20" ht="15.75">
      <c r="A842" s="13">
        <v>66780</v>
      </c>
      <c r="B842" s="48">
        <f t="shared" si="3"/>
        <v>31</v>
      </c>
      <c r="C842" s="39">
        <v>131.881</v>
      </c>
      <c r="D842" s="39">
        <v>277.16699999999997</v>
      </c>
      <c r="E842" s="45">
        <v>829.952</v>
      </c>
      <c r="F842" s="39">
        <v>1239</v>
      </c>
      <c r="G842" s="39">
        <v>75</v>
      </c>
      <c r="H842" s="47">
        <v>600</v>
      </c>
      <c r="I842" s="39">
        <v>695</v>
      </c>
      <c r="J842" s="39">
        <v>0</v>
      </c>
      <c r="K842" s="40"/>
      <c r="L842" s="40"/>
      <c r="M842" s="40"/>
      <c r="N842" s="40"/>
      <c r="O842" s="40"/>
      <c r="P842" s="40"/>
      <c r="Q842" s="40"/>
      <c r="R842" s="40"/>
      <c r="S842" s="40"/>
      <c r="T842" s="40"/>
    </row>
    <row r="843" spans="1:20" ht="15.75">
      <c r="A843" s="13">
        <v>66810</v>
      </c>
      <c r="B843" s="48">
        <f t="shared" si="3"/>
        <v>30</v>
      </c>
      <c r="C843" s="39">
        <v>122.58</v>
      </c>
      <c r="D843" s="39">
        <v>297.94099999999997</v>
      </c>
      <c r="E843" s="45">
        <v>729.47900000000004</v>
      </c>
      <c r="F843" s="39">
        <v>1150</v>
      </c>
      <c r="G843" s="39">
        <v>100</v>
      </c>
      <c r="H843" s="47">
        <v>600</v>
      </c>
      <c r="I843" s="39">
        <v>695</v>
      </c>
      <c r="J843" s="39">
        <v>50</v>
      </c>
      <c r="K843" s="40"/>
      <c r="L843" s="40"/>
      <c r="M843" s="40"/>
      <c r="N843" s="40"/>
      <c r="O843" s="40"/>
      <c r="P843" s="40"/>
      <c r="Q843" s="40"/>
      <c r="R843" s="40"/>
      <c r="S843" s="40"/>
      <c r="T843" s="40"/>
    </row>
    <row r="844" spans="1:20" ht="15.75">
      <c r="A844" s="13">
        <v>66841</v>
      </c>
      <c r="B844" s="48">
        <f t="shared" si="3"/>
        <v>31</v>
      </c>
      <c r="C844" s="39">
        <v>122.58</v>
      </c>
      <c r="D844" s="39">
        <v>297.94099999999997</v>
      </c>
      <c r="E844" s="45">
        <v>729.47900000000004</v>
      </c>
      <c r="F844" s="39">
        <v>1150</v>
      </c>
      <c r="G844" s="39">
        <v>100</v>
      </c>
      <c r="H844" s="47">
        <v>600</v>
      </c>
      <c r="I844" s="39">
        <v>695</v>
      </c>
      <c r="J844" s="39">
        <v>50</v>
      </c>
      <c r="K844" s="40"/>
      <c r="L844" s="40"/>
      <c r="M844" s="40"/>
      <c r="N844" s="40"/>
      <c r="O844" s="40"/>
      <c r="P844" s="40"/>
      <c r="Q844" s="40"/>
      <c r="R844" s="40"/>
      <c r="S844" s="40"/>
      <c r="T844" s="40"/>
    </row>
    <row r="845" spans="1:20" ht="15.75">
      <c r="A845" s="13">
        <v>66872</v>
      </c>
      <c r="B845" s="48">
        <f t="shared" si="3"/>
        <v>31</v>
      </c>
      <c r="C845" s="39">
        <v>122.58</v>
      </c>
      <c r="D845" s="39">
        <v>297.94099999999997</v>
      </c>
      <c r="E845" s="45">
        <v>729.47900000000004</v>
      </c>
      <c r="F845" s="39">
        <v>1150</v>
      </c>
      <c r="G845" s="39">
        <v>100</v>
      </c>
      <c r="H845" s="47">
        <v>600</v>
      </c>
      <c r="I845" s="39">
        <v>695</v>
      </c>
      <c r="J845" s="39">
        <v>50</v>
      </c>
      <c r="K845" s="40"/>
      <c r="L845" s="40"/>
      <c r="M845" s="40"/>
      <c r="N845" s="40"/>
      <c r="O845" s="40"/>
      <c r="P845" s="40"/>
      <c r="Q845" s="40"/>
      <c r="R845" s="40"/>
      <c r="S845" s="40"/>
      <c r="T845" s="40"/>
    </row>
    <row r="846" spans="1:20" ht="15.75">
      <c r="A846" s="13">
        <v>66900</v>
      </c>
      <c r="B846" s="48">
        <f t="shared" si="3"/>
        <v>28</v>
      </c>
      <c r="C846" s="39">
        <v>122.58</v>
      </c>
      <c r="D846" s="39">
        <v>297.94099999999997</v>
      </c>
      <c r="E846" s="45">
        <v>729.47900000000004</v>
      </c>
      <c r="F846" s="39">
        <v>1150</v>
      </c>
      <c r="G846" s="39">
        <v>100</v>
      </c>
      <c r="H846" s="47">
        <v>600</v>
      </c>
      <c r="I846" s="39">
        <v>695</v>
      </c>
      <c r="J846" s="39">
        <v>50</v>
      </c>
      <c r="K846" s="40"/>
      <c r="L846" s="40"/>
      <c r="M846" s="40"/>
      <c r="N846" s="40"/>
      <c r="O846" s="40"/>
      <c r="P846" s="40"/>
      <c r="Q846" s="40"/>
      <c r="R846" s="40"/>
      <c r="S846" s="40"/>
      <c r="T846" s="40"/>
    </row>
    <row r="847" spans="1:20" ht="15.75">
      <c r="A847" s="13">
        <v>66931</v>
      </c>
      <c r="B847" s="48">
        <f t="shared" si="3"/>
        <v>31</v>
      </c>
      <c r="C847" s="39">
        <v>122.58</v>
      </c>
      <c r="D847" s="39">
        <v>297.94099999999997</v>
      </c>
      <c r="E847" s="45">
        <v>729.47900000000004</v>
      </c>
      <c r="F847" s="39">
        <v>1150</v>
      </c>
      <c r="G847" s="39">
        <v>100</v>
      </c>
      <c r="H847" s="47">
        <v>600</v>
      </c>
      <c r="I847" s="39">
        <v>695</v>
      </c>
      <c r="J847" s="39">
        <v>50</v>
      </c>
      <c r="K847" s="40"/>
      <c r="L847" s="40"/>
      <c r="M847" s="40"/>
      <c r="N847" s="40"/>
      <c r="O847" s="40"/>
      <c r="P847" s="40"/>
      <c r="Q847" s="40"/>
      <c r="R847" s="40"/>
      <c r="S847" s="40"/>
      <c r="T847" s="40"/>
    </row>
    <row r="848" spans="1:20" ht="15.75">
      <c r="A848" s="13">
        <v>66961</v>
      </c>
      <c r="B848" s="48">
        <f t="shared" si="3"/>
        <v>30</v>
      </c>
      <c r="C848" s="39">
        <v>141.29300000000001</v>
      </c>
      <c r="D848" s="39">
        <v>267.99299999999999</v>
      </c>
      <c r="E848" s="45">
        <v>829.71400000000006</v>
      </c>
      <c r="F848" s="39">
        <v>1239</v>
      </c>
      <c r="G848" s="39">
        <v>100</v>
      </c>
      <c r="H848" s="47">
        <v>600</v>
      </c>
      <c r="I848" s="39">
        <v>695</v>
      </c>
      <c r="J848" s="39">
        <v>50</v>
      </c>
      <c r="K848" s="40"/>
      <c r="L848" s="40"/>
      <c r="M848" s="40"/>
      <c r="N848" s="40"/>
      <c r="O848" s="40"/>
      <c r="P848" s="40"/>
      <c r="Q848" s="40"/>
      <c r="R848" s="40"/>
      <c r="S848" s="40"/>
      <c r="T848" s="40"/>
    </row>
    <row r="849" spans="1:20" ht="15.75">
      <c r="A849" s="13">
        <v>66992</v>
      </c>
      <c r="B849" s="48">
        <f t="shared" ref="B849:B912" si="4">EOMONTH(A849,0)-EOMONTH(A849,-1)</f>
        <v>31</v>
      </c>
      <c r="C849" s="39">
        <v>194.20500000000001</v>
      </c>
      <c r="D849" s="39">
        <v>267.46600000000001</v>
      </c>
      <c r="E849" s="45">
        <v>812.32899999999995</v>
      </c>
      <c r="F849" s="39">
        <v>1274</v>
      </c>
      <c r="G849" s="39">
        <v>75</v>
      </c>
      <c r="H849" s="47">
        <v>600</v>
      </c>
      <c r="I849" s="39">
        <v>695</v>
      </c>
      <c r="J849" s="39">
        <v>50</v>
      </c>
      <c r="K849" s="40"/>
      <c r="L849" s="40"/>
      <c r="M849" s="40"/>
      <c r="N849" s="40"/>
      <c r="O849" s="40"/>
      <c r="P849" s="40"/>
      <c r="Q849" s="40"/>
      <c r="R849" s="40"/>
      <c r="S849" s="40"/>
      <c r="T849" s="40"/>
    </row>
    <row r="850" spans="1:20" ht="15.75">
      <c r="A850" s="13">
        <v>67022</v>
      </c>
      <c r="B850" s="48">
        <f t="shared" si="4"/>
        <v>30</v>
      </c>
      <c r="C850" s="39">
        <v>194.20500000000001</v>
      </c>
      <c r="D850" s="39">
        <v>267.46600000000001</v>
      </c>
      <c r="E850" s="45">
        <v>812.32899999999995</v>
      </c>
      <c r="F850" s="39">
        <v>1274</v>
      </c>
      <c r="G850" s="39">
        <v>50</v>
      </c>
      <c r="H850" s="47">
        <v>600</v>
      </c>
      <c r="I850" s="39">
        <v>695</v>
      </c>
      <c r="J850" s="39">
        <v>50</v>
      </c>
      <c r="K850" s="40"/>
      <c r="L850" s="40"/>
      <c r="M850" s="40"/>
      <c r="N850" s="40"/>
      <c r="O850" s="40"/>
      <c r="P850" s="40"/>
      <c r="Q850" s="40"/>
      <c r="R850" s="40"/>
      <c r="S850" s="40"/>
      <c r="T850" s="40"/>
    </row>
    <row r="851" spans="1:20" ht="15.75">
      <c r="A851" s="13">
        <v>67053</v>
      </c>
      <c r="B851" s="48">
        <f t="shared" si="4"/>
        <v>31</v>
      </c>
      <c r="C851" s="39">
        <v>194.20500000000001</v>
      </c>
      <c r="D851" s="39">
        <v>267.46600000000001</v>
      </c>
      <c r="E851" s="45">
        <v>812.32899999999995</v>
      </c>
      <c r="F851" s="39">
        <v>1274</v>
      </c>
      <c r="G851" s="39">
        <v>50</v>
      </c>
      <c r="H851" s="47">
        <v>600</v>
      </c>
      <c r="I851" s="39">
        <v>695</v>
      </c>
      <c r="J851" s="39">
        <v>0</v>
      </c>
      <c r="K851" s="40"/>
      <c r="L851" s="40"/>
      <c r="M851" s="40"/>
      <c r="N851" s="40"/>
      <c r="O851" s="40"/>
      <c r="P851" s="40"/>
      <c r="Q851" s="40"/>
      <c r="R851" s="40"/>
      <c r="S851" s="40"/>
      <c r="T851" s="40"/>
    </row>
    <row r="852" spans="1:20" ht="15.75">
      <c r="A852" s="13">
        <v>67084</v>
      </c>
      <c r="B852" s="48">
        <f t="shared" si="4"/>
        <v>31</v>
      </c>
      <c r="C852" s="39">
        <v>194.20500000000001</v>
      </c>
      <c r="D852" s="39">
        <v>267.46600000000001</v>
      </c>
      <c r="E852" s="45">
        <v>812.32899999999995</v>
      </c>
      <c r="F852" s="39">
        <v>1274</v>
      </c>
      <c r="G852" s="39">
        <v>50</v>
      </c>
      <c r="H852" s="47">
        <v>600</v>
      </c>
      <c r="I852" s="39">
        <v>695</v>
      </c>
      <c r="J852" s="39">
        <v>0</v>
      </c>
      <c r="K852" s="40"/>
      <c r="L852" s="40"/>
      <c r="M852" s="40"/>
      <c r="N852" s="40"/>
      <c r="O852" s="40"/>
      <c r="P852" s="40"/>
      <c r="Q852" s="40"/>
      <c r="R852" s="40"/>
      <c r="S852" s="40"/>
      <c r="T852" s="40"/>
    </row>
    <row r="853" spans="1:20" ht="15.75">
      <c r="A853" s="13">
        <v>67114</v>
      </c>
      <c r="B853" s="48">
        <f t="shared" si="4"/>
        <v>30</v>
      </c>
      <c r="C853" s="39">
        <v>194.20500000000001</v>
      </c>
      <c r="D853" s="39">
        <v>267.46600000000001</v>
      </c>
      <c r="E853" s="45">
        <v>812.32899999999995</v>
      </c>
      <c r="F853" s="39">
        <v>1274</v>
      </c>
      <c r="G853" s="39">
        <v>50</v>
      </c>
      <c r="H853" s="47">
        <v>600</v>
      </c>
      <c r="I853" s="39">
        <v>695</v>
      </c>
      <c r="J853" s="39">
        <v>0</v>
      </c>
      <c r="K853" s="40"/>
      <c r="L853" s="40"/>
      <c r="M853" s="40"/>
      <c r="N853" s="40"/>
      <c r="O853" s="40"/>
      <c r="P853" s="40"/>
      <c r="Q853" s="40"/>
      <c r="R853" s="40"/>
      <c r="S853" s="40"/>
      <c r="T853" s="40"/>
    </row>
    <row r="854" spans="1:20" ht="15.75">
      <c r="A854" s="13">
        <v>67145</v>
      </c>
      <c r="B854" s="48">
        <f t="shared" si="4"/>
        <v>31</v>
      </c>
      <c r="C854" s="39">
        <v>131.881</v>
      </c>
      <c r="D854" s="39">
        <v>277.16699999999997</v>
      </c>
      <c r="E854" s="45">
        <v>829.952</v>
      </c>
      <c r="F854" s="39">
        <v>1239</v>
      </c>
      <c r="G854" s="39">
        <v>75</v>
      </c>
      <c r="H854" s="47">
        <v>600</v>
      </c>
      <c r="I854" s="39">
        <v>695</v>
      </c>
      <c r="J854" s="39">
        <v>0</v>
      </c>
      <c r="K854" s="40"/>
      <c r="L854" s="40"/>
      <c r="M854" s="40"/>
      <c r="N854" s="40"/>
      <c r="O854" s="40"/>
      <c r="P854" s="40"/>
      <c r="Q854" s="40"/>
      <c r="R854" s="40"/>
      <c r="S854" s="40"/>
      <c r="T854" s="40"/>
    </row>
    <row r="855" spans="1:20" ht="15.75">
      <c r="A855" s="13">
        <v>67175</v>
      </c>
      <c r="B855" s="48">
        <f t="shared" si="4"/>
        <v>30</v>
      </c>
      <c r="C855" s="39">
        <v>122.58</v>
      </c>
      <c r="D855" s="39">
        <v>297.94099999999997</v>
      </c>
      <c r="E855" s="45">
        <v>729.47900000000004</v>
      </c>
      <c r="F855" s="39">
        <v>1150</v>
      </c>
      <c r="G855" s="39">
        <v>100</v>
      </c>
      <c r="H855" s="47">
        <v>600</v>
      </c>
      <c r="I855" s="39">
        <v>695</v>
      </c>
      <c r="J855" s="39">
        <v>50</v>
      </c>
      <c r="K855" s="40"/>
      <c r="L855" s="40"/>
      <c r="M855" s="40"/>
      <c r="N855" s="40"/>
      <c r="O855" s="40"/>
      <c r="P855" s="40"/>
      <c r="Q855" s="40"/>
      <c r="R855" s="40"/>
      <c r="S855" s="40"/>
      <c r="T855" s="40"/>
    </row>
    <row r="856" spans="1:20" ht="15.75">
      <c r="A856" s="13">
        <v>67206</v>
      </c>
      <c r="B856" s="48">
        <f t="shared" si="4"/>
        <v>31</v>
      </c>
      <c r="C856" s="39">
        <v>122.58</v>
      </c>
      <c r="D856" s="39">
        <v>297.94099999999997</v>
      </c>
      <c r="E856" s="45">
        <v>729.47900000000004</v>
      </c>
      <c r="F856" s="39">
        <v>1150</v>
      </c>
      <c r="G856" s="39">
        <v>100</v>
      </c>
      <c r="H856" s="47">
        <v>600</v>
      </c>
      <c r="I856" s="39">
        <v>695</v>
      </c>
      <c r="J856" s="39">
        <v>50</v>
      </c>
      <c r="K856" s="40"/>
      <c r="L856" s="40"/>
      <c r="M856" s="40"/>
      <c r="N856" s="40"/>
      <c r="O856" s="40"/>
      <c r="P856" s="40"/>
      <c r="Q856" s="40"/>
      <c r="R856" s="40"/>
      <c r="S856" s="40"/>
      <c r="T856" s="40"/>
    </row>
    <row r="857" spans="1:20" ht="15.75">
      <c r="A857" s="13">
        <v>67237</v>
      </c>
      <c r="B857" s="48">
        <f t="shared" si="4"/>
        <v>31</v>
      </c>
      <c r="C857" s="39">
        <v>122.58</v>
      </c>
      <c r="D857" s="39">
        <v>297.94099999999997</v>
      </c>
      <c r="E857" s="45">
        <v>729.47900000000004</v>
      </c>
      <c r="F857" s="39">
        <v>1150</v>
      </c>
      <c r="G857" s="39">
        <v>100</v>
      </c>
      <c r="H857" s="47">
        <v>600</v>
      </c>
      <c r="I857" s="39">
        <v>695</v>
      </c>
      <c r="J857" s="39">
        <v>50</v>
      </c>
      <c r="K857" s="40"/>
      <c r="L857" s="40"/>
      <c r="M857" s="40"/>
      <c r="N857" s="40"/>
      <c r="O857" s="40"/>
      <c r="P857" s="40"/>
      <c r="Q857" s="40"/>
      <c r="R857" s="40"/>
      <c r="S857" s="40"/>
      <c r="T857" s="40"/>
    </row>
    <row r="858" spans="1:20" ht="15.75">
      <c r="A858" s="13">
        <v>67266</v>
      </c>
      <c r="B858" s="48">
        <f t="shared" si="4"/>
        <v>29</v>
      </c>
      <c r="C858" s="39">
        <v>122.58</v>
      </c>
      <c r="D858" s="39">
        <v>297.94099999999997</v>
      </c>
      <c r="E858" s="45">
        <v>729.47900000000004</v>
      </c>
      <c r="F858" s="39">
        <v>1150</v>
      </c>
      <c r="G858" s="39">
        <v>100</v>
      </c>
      <c r="H858" s="47">
        <v>600</v>
      </c>
      <c r="I858" s="39">
        <v>695</v>
      </c>
      <c r="J858" s="39">
        <v>50</v>
      </c>
      <c r="K858" s="40"/>
      <c r="L858" s="40"/>
      <c r="M858" s="40"/>
      <c r="N858" s="40"/>
      <c r="O858" s="40"/>
      <c r="P858" s="40"/>
      <c r="Q858" s="40"/>
      <c r="R858" s="40"/>
      <c r="S858" s="40"/>
      <c r="T858" s="40"/>
    </row>
    <row r="859" spans="1:20" ht="15.75">
      <c r="A859" s="13">
        <v>67297</v>
      </c>
      <c r="B859" s="48">
        <f t="shared" si="4"/>
        <v>31</v>
      </c>
      <c r="C859" s="39">
        <v>122.58</v>
      </c>
      <c r="D859" s="39">
        <v>297.94099999999997</v>
      </c>
      <c r="E859" s="45">
        <v>729.47900000000004</v>
      </c>
      <c r="F859" s="39">
        <v>1150</v>
      </c>
      <c r="G859" s="39">
        <v>100</v>
      </c>
      <c r="H859" s="47">
        <v>600</v>
      </c>
      <c r="I859" s="39">
        <v>695</v>
      </c>
      <c r="J859" s="39">
        <v>50</v>
      </c>
      <c r="K859" s="40"/>
      <c r="L859" s="40"/>
      <c r="M859" s="40"/>
      <c r="N859" s="40"/>
      <c r="O859" s="40"/>
      <c r="P859" s="40"/>
      <c r="Q859" s="40"/>
      <c r="R859" s="40"/>
      <c r="S859" s="40"/>
      <c r="T859" s="40"/>
    </row>
    <row r="860" spans="1:20" ht="15.75">
      <c r="A860" s="13">
        <v>67327</v>
      </c>
      <c r="B860" s="48">
        <f t="shared" si="4"/>
        <v>30</v>
      </c>
      <c r="C860" s="39">
        <v>141.29300000000001</v>
      </c>
      <c r="D860" s="39">
        <v>267.99299999999999</v>
      </c>
      <c r="E860" s="45">
        <v>829.71400000000006</v>
      </c>
      <c r="F860" s="39">
        <v>1239</v>
      </c>
      <c r="G860" s="39">
        <v>100</v>
      </c>
      <c r="H860" s="47">
        <v>600</v>
      </c>
      <c r="I860" s="39">
        <v>695</v>
      </c>
      <c r="J860" s="39">
        <v>50</v>
      </c>
      <c r="K860" s="40"/>
      <c r="L860" s="40"/>
      <c r="M860" s="40"/>
      <c r="N860" s="40"/>
      <c r="O860" s="40"/>
      <c r="P860" s="40"/>
      <c r="Q860" s="40"/>
      <c r="R860" s="40"/>
      <c r="S860" s="40"/>
      <c r="T860" s="40"/>
    </row>
    <row r="861" spans="1:20" ht="15.75">
      <c r="A861" s="13">
        <v>67358</v>
      </c>
      <c r="B861" s="48">
        <f t="shared" si="4"/>
        <v>31</v>
      </c>
      <c r="C861" s="39">
        <v>194.20500000000001</v>
      </c>
      <c r="D861" s="39">
        <v>267.46600000000001</v>
      </c>
      <c r="E861" s="45">
        <v>812.32899999999995</v>
      </c>
      <c r="F861" s="39">
        <v>1274</v>
      </c>
      <c r="G861" s="39">
        <v>75</v>
      </c>
      <c r="H861" s="47">
        <v>600</v>
      </c>
      <c r="I861" s="39">
        <v>695</v>
      </c>
      <c r="J861" s="39">
        <v>50</v>
      </c>
      <c r="K861" s="40"/>
      <c r="L861" s="40"/>
      <c r="M861" s="40"/>
      <c r="N861" s="40"/>
      <c r="O861" s="40"/>
      <c r="P861" s="40"/>
      <c r="Q861" s="40"/>
      <c r="R861" s="40"/>
      <c r="S861" s="40"/>
      <c r="T861" s="40"/>
    </row>
    <row r="862" spans="1:20" ht="15.75">
      <c r="A862" s="13">
        <v>67388</v>
      </c>
      <c r="B862" s="48">
        <f t="shared" si="4"/>
        <v>30</v>
      </c>
      <c r="C862" s="39">
        <v>194.20500000000001</v>
      </c>
      <c r="D862" s="39">
        <v>267.46600000000001</v>
      </c>
      <c r="E862" s="45">
        <v>812.32899999999995</v>
      </c>
      <c r="F862" s="39">
        <v>1274</v>
      </c>
      <c r="G862" s="39">
        <v>50</v>
      </c>
      <c r="H862" s="47">
        <v>600</v>
      </c>
      <c r="I862" s="39">
        <v>695</v>
      </c>
      <c r="J862" s="39">
        <v>50</v>
      </c>
      <c r="K862" s="40"/>
      <c r="L862" s="40"/>
      <c r="M862" s="40"/>
      <c r="N862" s="40"/>
      <c r="O862" s="40"/>
      <c r="P862" s="40"/>
      <c r="Q862" s="40"/>
      <c r="R862" s="40"/>
      <c r="S862" s="40"/>
      <c r="T862" s="40"/>
    </row>
    <row r="863" spans="1:20" ht="15.75">
      <c r="A863" s="13">
        <v>67419</v>
      </c>
      <c r="B863" s="48">
        <f t="shared" si="4"/>
        <v>31</v>
      </c>
      <c r="C863" s="39">
        <v>194.20500000000001</v>
      </c>
      <c r="D863" s="39">
        <v>267.46600000000001</v>
      </c>
      <c r="E863" s="45">
        <v>812.32899999999995</v>
      </c>
      <c r="F863" s="39">
        <v>1274</v>
      </c>
      <c r="G863" s="39">
        <v>50</v>
      </c>
      <c r="H863" s="47">
        <v>600</v>
      </c>
      <c r="I863" s="39">
        <v>695</v>
      </c>
      <c r="J863" s="39">
        <v>0</v>
      </c>
      <c r="K863" s="40"/>
      <c r="L863" s="40"/>
      <c r="M863" s="40"/>
      <c r="N863" s="40"/>
      <c r="O863" s="40"/>
      <c r="P863" s="40"/>
      <c r="Q863" s="40"/>
      <c r="R863" s="40"/>
      <c r="S863" s="40"/>
      <c r="T863" s="40"/>
    </row>
    <row r="864" spans="1:20" ht="15.75">
      <c r="A864" s="13">
        <v>67450</v>
      </c>
      <c r="B864" s="48">
        <f t="shared" si="4"/>
        <v>31</v>
      </c>
      <c r="C864" s="39">
        <v>194.20500000000001</v>
      </c>
      <c r="D864" s="39">
        <v>267.46600000000001</v>
      </c>
      <c r="E864" s="45">
        <v>812.32899999999995</v>
      </c>
      <c r="F864" s="39">
        <v>1274</v>
      </c>
      <c r="G864" s="39">
        <v>50</v>
      </c>
      <c r="H864" s="47">
        <v>600</v>
      </c>
      <c r="I864" s="39">
        <v>695</v>
      </c>
      <c r="J864" s="39">
        <v>0</v>
      </c>
      <c r="K864" s="40"/>
      <c r="L864" s="40"/>
      <c r="M864" s="40"/>
      <c r="N864" s="40"/>
      <c r="O864" s="40"/>
      <c r="P864" s="40"/>
      <c r="Q864" s="40"/>
      <c r="R864" s="40"/>
      <c r="S864" s="40"/>
      <c r="T864" s="40"/>
    </row>
    <row r="865" spans="1:20" ht="15.75">
      <c r="A865" s="13">
        <v>67480</v>
      </c>
      <c r="B865" s="48">
        <f t="shared" si="4"/>
        <v>30</v>
      </c>
      <c r="C865" s="39">
        <v>194.20500000000001</v>
      </c>
      <c r="D865" s="39">
        <v>267.46600000000001</v>
      </c>
      <c r="E865" s="45">
        <v>812.32899999999995</v>
      </c>
      <c r="F865" s="39">
        <v>1274</v>
      </c>
      <c r="G865" s="39">
        <v>50</v>
      </c>
      <c r="H865" s="47">
        <v>600</v>
      </c>
      <c r="I865" s="39">
        <v>695</v>
      </c>
      <c r="J865" s="39">
        <v>0</v>
      </c>
      <c r="K865" s="40"/>
      <c r="L865" s="40"/>
      <c r="M865" s="40"/>
      <c r="N865" s="40"/>
      <c r="O865" s="40"/>
      <c r="P865" s="40"/>
      <c r="Q865" s="40"/>
      <c r="R865" s="40"/>
      <c r="S865" s="40"/>
      <c r="T865" s="40"/>
    </row>
    <row r="866" spans="1:20" ht="15.75">
      <c r="A866" s="13">
        <v>67511</v>
      </c>
      <c r="B866" s="48">
        <f t="shared" si="4"/>
        <v>31</v>
      </c>
      <c r="C866" s="39">
        <v>131.881</v>
      </c>
      <c r="D866" s="39">
        <v>277.16699999999997</v>
      </c>
      <c r="E866" s="45">
        <v>829.952</v>
      </c>
      <c r="F866" s="39">
        <v>1239</v>
      </c>
      <c r="G866" s="39">
        <v>75</v>
      </c>
      <c r="H866" s="47">
        <v>600</v>
      </c>
      <c r="I866" s="39">
        <v>695</v>
      </c>
      <c r="J866" s="39">
        <v>0</v>
      </c>
      <c r="K866" s="40"/>
      <c r="L866" s="40"/>
      <c r="M866" s="40"/>
      <c r="N866" s="40"/>
      <c r="O866" s="40"/>
      <c r="P866" s="40"/>
      <c r="Q866" s="40"/>
      <c r="R866" s="40"/>
      <c r="S866" s="40"/>
      <c r="T866" s="40"/>
    </row>
    <row r="867" spans="1:20" ht="15.75">
      <c r="A867" s="13">
        <v>67541</v>
      </c>
      <c r="B867" s="48">
        <f t="shared" si="4"/>
        <v>30</v>
      </c>
      <c r="C867" s="39">
        <v>122.58</v>
      </c>
      <c r="D867" s="39">
        <v>297.94099999999997</v>
      </c>
      <c r="E867" s="45">
        <v>729.47900000000004</v>
      </c>
      <c r="F867" s="39">
        <v>1150</v>
      </c>
      <c r="G867" s="39">
        <v>100</v>
      </c>
      <c r="H867" s="47">
        <v>600</v>
      </c>
      <c r="I867" s="39">
        <v>695</v>
      </c>
      <c r="J867" s="39">
        <v>50</v>
      </c>
      <c r="K867" s="40"/>
      <c r="L867" s="40"/>
      <c r="M867" s="40"/>
      <c r="N867" s="40"/>
      <c r="O867" s="40"/>
      <c r="P867" s="40"/>
      <c r="Q867" s="40"/>
      <c r="R867" s="40"/>
      <c r="S867" s="40"/>
      <c r="T867" s="40"/>
    </row>
    <row r="868" spans="1:20" ht="15.75">
      <c r="A868" s="13">
        <v>67572</v>
      </c>
      <c r="B868" s="48">
        <f t="shared" si="4"/>
        <v>31</v>
      </c>
      <c r="C868" s="39">
        <v>122.58</v>
      </c>
      <c r="D868" s="39">
        <v>297.94099999999997</v>
      </c>
      <c r="E868" s="45">
        <v>729.47900000000004</v>
      </c>
      <c r="F868" s="39">
        <v>1150</v>
      </c>
      <c r="G868" s="39">
        <v>100</v>
      </c>
      <c r="H868" s="47">
        <v>600</v>
      </c>
      <c r="I868" s="39">
        <v>695</v>
      </c>
      <c r="J868" s="39">
        <v>50</v>
      </c>
      <c r="K868" s="40"/>
      <c r="L868" s="40"/>
      <c r="M868" s="40"/>
      <c r="N868" s="40"/>
      <c r="O868" s="40"/>
      <c r="P868" s="40"/>
      <c r="Q868" s="40"/>
      <c r="R868" s="40"/>
      <c r="S868" s="40"/>
      <c r="T868" s="40"/>
    </row>
    <row r="869" spans="1:20" ht="15.75">
      <c r="A869" s="13">
        <v>67603</v>
      </c>
      <c r="B869" s="48">
        <f t="shared" si="4"/>
        <v>31</v>
      </c>
      <c r="C869" s="39">
        <v>122.58</v>
      </c>
      <c r="D869" s="39">
        <v>297.94099999999997</v>
      </c>
      <c r="E869" s="45">
        <v>729.47900000000004</v>
      </c>
      <c r="F869" s="39">
        <v>1150</v>
      </c>
      <c r="G869" s="39">
        <v>100</v>
      </c>
      <c r="H869" s="47">
        <v>600</v>
      </c>
      <c r="I869" s="39">
        <v>695</v>
      </c>
      <c r="J869" s="39">
        <v>50</v>
      </c>
      <c r="K869" s="40"/>
      <c r="L869" s="40"/>
      <c r="M869" s="40"/>
      <c r="N869" s="40"/>
      <c r="O869" s="40"/>
      <c r="P869" s="40"/>
      <c r="Q869" s="40"/>
      <c r="R869" s="40"/>
      <c r="S869" s="40"/>
      <c r="T869" s="40"/>
    </row>
    <row r="870" spans="1:20" ht="15.75">
      <c r="A870" s="13">
        <v>67631</v>
      </c>
      <c r="B870" s="48">
        <f t="shared" si="4"/>
        <v>28</v>
      </c>
      <c r="C870" s="39">
        <v>122.58</v>
      </c>
      <c r="D870" s="39">
        <v>297.94099999999997</v>
      </c>
      <c r="E870" s="45">
        <v>729.47900000000004</v>
      </c>
      <c r="F870" s="39">
        <v>1150</v>
      </c>
      <c r="G870" s="39">
        <v>100</v>
      </c>
      <c r="H870" s="47">
        <v>600</v>
      </c>
      <c r="I870" s="39">
        <v>695</v>
      </c>
      <c r="J870" s="39">
        <v>50</v>
      </c>
      <c r="K870" s="40"/>
      <c r="L870" s="40"/>
      <c r="M870" s="40"/>
      <c r="N870" s="40"/>
      <c r="O870" s="40"/>
      <c r="P870" s="40"/>
      <c r="Q870" s="40"/>
      <c r="R870" s="40"/>
      <c r="S870" s="40"/>
      <c r="T870" s="40"/>
    </row>
    <row r="871" spans="1:20" ht="15.75">
      <c r="A871" s="13">
        <v>67662</v>
      </c>
      <c r="B871" s="48">
        <f t="shared" si="4"/>
        <v>31</v>
      </c>
      <c r="C871" s="39">
        <v>122.58</v>
      </c>
      <c r="D871" s="39">
        <v>297.94099999999997</v>
      </c>
      <c r="E871" s="45">
        <v>729.47900000000004</v>
      </c>
      <c r="F871" s="39">
        <v>1150</v>
      </c>
      <c r="G871" s="39">
        <v>100</v>
      </c>
      <c r="H871" s="47">
        <v>600</v>
      </c>
      <c r="I871" s="39">
        <v>695</v>
      </c>
      <c r="J871" s="39">
        <v>50</v>
      </c>
      <c r="K871" s="40"/>
      <c r="L871" s="40"/>
      <c r="M871" s="40"/>
      <c r="N871" s="40"/>
      <c r="O871" s="40"/>
      <c r="P871" s="40"/>
      <c r="Q871" s="40"/>
      <c r="R871" s="40"/>
      <c r="S871" s="40"/>
      <c r="T871" s="40"/>
    </row>
    <row r="872" spans="1:20" ht="15.75">
      <c r="A872" s="13">
        <v>67692</v>
      </c>
      <c r="B872" s="48">
        <f t="shared" si="4"/>
        <v>30</v>
      </c>
      <c r="C872" s="39">
        <v>141.29300000000001</v>
      </c>
      <c r="D872" s="39">
        <v>267.99299999999999</v>
      </c>
      <c r="E872" s="45">
        <v>829.71400000000006</v>
      </c>
      <c r="F872" s="39">
        <v>1239</v>
      </c>
      <c r="G872" s="39">
        <v>100</v>
      </c>
      <c r="H872" s="47">
        <v>600</v>
      </c>
      <c r="I872" s="39">
        <v>695</v>
      </c>
      <c r="J872" s="39">
        <v>50</v>
      </c>
      <c r="K872" s="40"/>
      <c r="L872" s="40"/>
      <c r="M872" s="40"/>
      <c r="N872" s="40"/>
      <c r="O872" s="40"/>
      <c r="P872" s="40"/>
      <c r="Q872" s="40"/>
      <c r="R872" s="40"/>
      <c r="S872" s="40"/>
      <c r="T872" s="40"/>
    </row>
    <row r="873" spans="1:20" ht="15.75">
      <c r="A873" s="13">
        <v>67723</v>
      </c>
      <c r="B873" s="48">
        <f t="shared" si="4"/>
        <v>31</v>
      </c>
      <c r="C873" s="39">
        <v>194.20500000000001</v>
      </c>
      <c r="D873" s="39">
        <v>267.46600000000001</v>
      </c>
      <c r="E873" s="45">
        <v>812.32899999999995</v>
      </c>
      <c r="F873" s="39">
        <v>1274</v>
      </c>
      <c r="G873" s="39">
        <v>75</v>
      </c>
      <c r="H873" s="47">
        <v>600</v>
      </c>
      <c r="I873" s="39">
        <v>695</v>
      </c>
      <c r="J873" s="39">
        <v>50</v>
      </c>
      <c r="K873" s="40"/>
      <c r="L873" s="40"/>
      <c r="M873" s="40"/>
      <c r="N873" s="40"/>
      <c r="O873" s="40"/>
      <c r="P873" s="40"/>
      <c r="Q873" s="40"/>
      <c r="R873" s="40"/>
      <c r="S873" s="40"/>
      <c r="T873" s="40"/>
    </row>
    <row r="874" spans="1:20" ht="15.75">
      <c r="A874" s="13">
        <v>67753</v>
      </c>
      <c r="B874" s="48">
        <f t="shared" si="4"/>
        <v>30</v>
      </c>
      <c r="C874" s="39">
        <v>194.20500000000001</v>
      </c>
      <c r="D874" s="39">
        <v>267.46600000000001</v>
      </c>
      <c r="E874" s="45">
        <v>812.32899999999995</v>
      </c>
      <c r="F874" s="39">
        <v>1274</v>
      </c>
      <c r="G874" s="39">
        <v>50</v>
      </c>
      <c r="H874" s="47">
        <v>600</v>
      </c>
      <c r="I874" s="39">
        <v>695</v>
      </c>
      <c r="J874" s="39">
        <v>50</v>
      </c>
      <c r="K874" s="40"/>
      <c r="L874" s="40"/>
      <c r="M874" s="40"/>
      <c r="N874" s="40"/>
      <c r="O874" s="40"/>
      <c r="P874" s="40"/>
      <c r="Q874" s="40"/>
      <c r="R874" s="40"/>
      <c r="S874" s="40"/>
      <c r="T874" s="40"/>
    </row>
    <row r="875" spans="1:20" ht="15.75">
      <c r="A875" s="13">
        <v>67784</v>
      </c>
      <c r="B875" s="48">
        <f t="shared" si="4"/>
        <v>31</v>
      </c>
      <c r="C875" s="39">
        <v>194.20500000000001</v>
      </c>
      <c r="D875" s="39">
        <v>267.46600000000001</v>
      </c>
      <c r="E875" s="45">
        <v>812.32899999999995</v>
      </c>
      <c r="F875" s="39">
        <v>1274</v>
      </c>
      <c r="G875" s="39">
        <v>50</v>
      </c>
      <c r="H875" s="47">
        <v>600</v>
      </c>
      <c r="I875" s="39">
        <v>695</v>
      </c>
      <c r="J875" s="39">
        <v>0</v>
      </c>
      <c r="K875" s="40"/>
      <c r="L875" s="40"/>
      <c r="M875" s="40"/>
      <c r="N875" s="40"/>
      <c r="O875" s="40"/>
      <c r="P875" s="40"/>
      <c r="Q875" s="40"/>
      <c r="R875" s="40"/>
      <c r="S875" s="40"/>
      <c r="T875" s="40"/>
    </row>
    <row r="876" spans="1:20" ht="15.75">
      <c r="A876" s="13">
        <v>67815</v>
      </c>
      <c r="B876" s="48">
        <f t="shared" si="4"/>
        <v>31</v>
      </c>
      <c r="C876" s="39">
        <v>194.20500000000001</v>
      </c>
      <c r="D876" s="39">
        <v>267.46600000000001</v>
      </c>
      <c r="E876" s="45">
        <v>812.32899999999995</v>
      </c>
      <c r="F876" s="39">
        <v>1274</v>
      </c>
      <c r="G876" s="39">
        <v>50</v>
      </c>
      <c r="H876" s="47">
        <v>600</v>
      </c>
      <c r="I876" s="39">
        <v>695</v>
      </c>
      <c r="J876" s="39">
        <v>0</v>
      </c>
      <c r="K876" s="40"/>
      <c r="L876" s="40"/>
      <c r="M876" s="40"/>
      <c r="N876" s="40"/>
      <c r="O876" s="40"/>
      <c r="P876" s="40"/>
      <c r="Q876" s="40"/>
      <c r="R876" s="40"/>
      <c r="S876" s="40"/>
      <c r="T876" s="40"/>
    </row>
    <row r="877" spans="1:20" ht="15.75">
      <c r="A877" s="13">
        <v>67845</v>
      </c>
      <c r="B877" s="48">
        <f t="shared" si="4"/>
        <v>30</v>
      </c>
      <c r="C877" s="39">
        <v>194.20500000000001</v>
      </c>
      <c r="D877" s="39">
        <v>267.46600000000001</v>
      </c>
      <c r="E877" s="45">
        <v>812.32899999999995</v>
      </c>
      <c r="F877" s="39">
        <v>1274</v>
      </c>
      <c r="G877" s="39">
        <v>50</v>
      </c>
      <c r="H877" s="47">
        <v>600</v>
      </c>
      <c r="I877" s="39">
        <v>695</v>
      </c>
      <c r="J877" s="39">
        <v>0</v>
      </c>
      <c r="K877" s="40"/>
      <c r="L877" s="40"/>
      <c r="M877" s="40"/>
      <c r="N877" s="40"/>
      <c r="O877" s="40"/>
      <c r="P877" s="40"/>
      <c r="Q877" s="40"/>
      <c r="R877" s="40"/>
      <c r="S877" s="40"/>
      <c r="T877" s="40"/>
    </row>
    <row r="878" spans="1:20" ht="15.75">
      <c r="A878" s="13">
        <v>67876</v>
      </c>
      <c r="B878" s="48">
        <f t="shared" si="4"/>
        <v>31</v>
      </c>
      <c r="C878" s="39">
        <v>131.881</v>
      </c>
      <c r="D878" s="39">
        <v>277.16699999999997</v>
      </c>
      <c r="E878" s="45">
        <v>829.952</v>
      </c>
      <c r="F878" s="39">
        <v>1239</v>
      </c>
      <c r="G878" s="39">
        <v>75</v>
      </c>
      <c r="H878" s="47">
        <v>600</v>
      </c>
      <c r="I878" s="39">
        <v>695</v>
      </c>
      <c r="J878" s="39">
        <v>0</v>
      </c>
      <c r="K878" s="40"/>
      <c r="L878" s="40"/>
      <c r="M878" s="40"/>
      <c r="N878" s="40"/>
      <c r="O878" s="40"/>
      <c r="P878" s="40"/>
      <c r="Q878" s="40"/>
      <c r="R878" s="40"/>
      <c r="S878" s="40"/>
      <c r="T878" s="40"/>
    </row>
    <row r="879" spans="1:20" ht="15.75">
      <c r="A879" s="13">
        <v>67906</v>
      </c>
      <c r="B879" s="48">
        <f t="shared" si="4"/>
        <v>30</v>
      </c>
      <c r="C879" s="39">
        <v>122.58</v>
      </c>
      <c r="D879" s="39">
        <v>297.94099999999997</v>
      </c>
      <c r="E879" s="45">
        <v>729.47900000000004</v>
      </c>
      <c r="F879" s="39">
        <v>1150</v>
      </c>
      <c r="G879" s="39">
        <v>100</v>
      </c>
      <c r="H879" s="47">
        <v>600</v>
      </c>
      <c r="I879" s="39">
        <v>695</v>
      </c>
      <c r="J879" s="39">
        <v>50</v>
      </c>
      <c r="K879" s="40"/>
      <c r="L879" s="40"/>
      <c r="M879" s="40"/>
      <c r="N879" s="40"/>
      <c r="O879" s="40"/>
      <c r="P879" s="40"/>
      <c r="Q879" s="40"/>
      <c r="R879" s="40"/>
      <c r="S879" s="40"/>
      <c r="T879" s="40"/>
    </row>
    <row r="880" spans="1:20" ht="15.75">
      <c r="A880" s="13">
        <v>67937</v>
      </c>
      <c r="B880" s="48">
        <f t="shared" si="4"/>
        <v>31</v>
      </c>
      <c r="C880" s="39">
        <v>122.58</v>
      </c>
      <c r="D880" s="39">
        <v>297.94099999999997</v>
      </c>
      <c r="E880" s="45">
        <v>729.47900000000004</v>
      </c>
      <c r="F880" s="39">
        <v>1150</v>
      </c>
      <c r="G880" s="39">
        <v>100</v>
      </c>
      <c r="H880" s="47">
        <v>600</v>
      </c>
      <c r="I880" s="39">
        <v>695</v>
      </c>
      <c r="J880" s="39">
        <v>50</v>
      </c>
      <c r="K880" s="40"/>
      <c r="L880" s="40"/>
      <c r="M880" s="40"/>
      <c r="N880" s="40"/>
      <c r="O880" s="40"/>
      <c r="P880" s="40"/>
      <c r="Q880" s="40"/>
      <c r="R880" s="40"/>
      <c r="S880" s="40"/>
      <c r="T880" s="40"/>
    </row>
    <row r="881" spans="1:20" ht="15.75">
      <c r="A881" s="13">
        <v>67968</v>
      </c>
      <c r="B881" s="48">
        <f t="shared" si="4"/>
        <v>31</v>
      </c>
      <c r="C881" s="39">
        <v>122.58</v>
      </c>
      <c r="D881" s="39">
        <v>297.94099999999997</v>
      </c>
      <c r="E881" s="45">
        <v>729.47900000000004</v>
      </c>
      <c r="F881" s="39">
        <v>1150</v>
      </c>
      <c r="G881" s="39">
        <v>100</v>
      </c>
      <c r="H881" s="47">
        <v>600</v>
      </c>
      <c r="I881" s="39">
        <v>695</v>
      </c>
      <c r="J881" s="39">
        <v>50</v>
      </c>
      <c r="K881" s="40"/>
      <c r="L881" s="40"/>
      <c r="M881" s="40"/>
      <c r="N881" s="40"/>
      <c r="O881" s="40"/>
      <c r="P881" s="40"/>
      <c r="Q881" s="40"/>
      <c r="R881" s="40"/>
      <c r="S881" s="40"/>
      <c r="T881" s="40"/>
    </row>
    <row r="882" spans="1:20" ht="15.75">
      <c r="A882" s="13">
        <v>67996</v>
      </c>
      <c r="B882" s="48">
        <f t="shared" si="4"/>
        <v>28</v>
      </c>
      <c r="C882" s="39">
        <v>122.58</v>
      </c>
      <c r="D882" s="39">
        <v>297.94099999999997</v>
      </c>
      <c r="E882" s="45">
        <v>729.47900000000004</v>
      </c>
      <c r="F882" s="39">
        <v>1150</v>
      </c>
      <c r="G882" s="39">
        <v>100</v>
      </c>
      <c r="H882" s="47">
        <v>600</v>
      </c>
      <c r="I882" s="39">
        <v>695</v>
      </c>
      <c r="J882" s="39">
        <v>50</v>
      </c>
      <c r="K882" s="40"/>
      <c r="L882" s="40"/>
      <c r="M882" s="40"/>
      <c r="N882" s="40"/>
      <c r="O882" s="40"/>
      <c r="P882" s="40"/>
      <c r="Q882" s="40"/>
      <c r="R882" s="40"/>
      <c r="S882" s="40"/>
      <c r="T882" s="40"/>
    </row>
    <row r="883" spans="1:20" ht="15.75">
      <c r="A883" s="13">
        <v>68027</v>
      </c>
      <c r="B883" s="48">
        <f t="shared" si="4"/>
        <v>31</v>
      </c>
      <c r="C883" s="39">
        <v>122.58</v>
      </c>
      <c r="D883" s="39">
        <v>297.94099999999997</v>
      </c>
      <c r="E883" s="45">
        <v>729.47900000000004</v>
      </c>
      <c r="F883" s="39">
        <v>1150</v>
      </c>
      <c r="G883" s="39">
        <v>100</v>
      </c>
      <c r="H883" s="47">
        <v>600</v>
      </c>
      <c r="I883" s="39">
        <v>695</v>
      </c>
      <c r="J883" s="39">
        <v>50</v>
      </c>
      <c r="K883" s="40"/>
      <c r="L883" s="40"/>
      <c r="M883" s="40"/>
      <c r="N883" s="40"/>
      <c r="O883" s="40"/>
      <c r="P883" s="40"/>
      <c r="Q883" s="40"/>
      <c r="R883" s="40"/>
      <c r="S883" s="40"/>
      <c r="T883" s="40"/>
    </row>
    <row r="884" spans="1:20" ht="15.75">
      <c r="A884" s="13">
        <v>68057</v>
      </c>
      <c r="B884" s="48">
        <f t="shared" si="4"/>
        <v>30</v>
      </c>
      <c r="C884" s="39">
        <v>141.29300000000001</v>
      </c>
      <c r="D884" s="39">
        <v>267.99299999999999</v>
      </c>
      <c r="E884" s="45">
        <v>829.71400000000006</v>
      </c>
      <c r="F884" s="39">
        <v>1239</v>
      </c>
      <c r="G884" s="39">
        <v>100</v>
      </c>
      <c r="H884" s="47">
        <v>600</v>
      </c>
      <c r="I884" s="39">
        <v>695</v>
      </c>
      <c r="J884" s="39">
        <v>50</v>
      </c>
      <c r="K884" s="40"/>
      <c r="L884" s="40"/>
      <c r="M884" s="40"/>
      <c r="N884" s="40"/>
      <c r="O884" s="40"/>
      <c r="P884" s="40"/>
      <c r="Q884" s="40"/>
      <c r="R884" s="40"/>
      <c r="S884" s="40"/>
      <c r="T884" s="40"/>
    </row>
    <row r="885" spans="1:20" ht="15.75">
      <c r="A885" s="13">
        <v>68088</v>
      </c>
      <c r="B885" s="48">
        <f t="shared" si="4"/>
        <v>31</v>
      </c>
      <c r="C885" s="39">
        <v>194.20500000000001</v>
      </c>
      <c r="D885" s="39">
        <v>267.46600000000001</v>
      </c>
      <c r="E885" s="45">
        <v>812.32899999999995</v>
      </c>
      <c r="F885" s="39">
        <v>1274</v>
      </c>
      <c r="G885" s="39">
        <v>75</v>
      </c>
      <c r="H885" s="47">
        <v>600</v>
      </c>
      <c r="I885" s="39">
        <v>695</v>
      </c>
      <c r="J885" s="39">
        <v>50</v>
      </c>
      <c r="K885" s="40"/>
      <c r="L885" s="40"/>
      <c r="M885" s="40"/>
      <c r="N885" s="40"/>
      <c r="O885" s="40"/>
      <c r="P885" s="40"/>
      <c r="Q885" s="40"/>
      <c r="R885" s="40"/>
      <c r="S885" s="40"/>
      <c r="T885" s="40"/>
    </row>
    <row r="886" spans="1:20" ht="15.75">
      <c r="A886" s="13">
        <v>68118</v>
      </c>
      <c r="B886" s="48">
        <f t="shared" si="4"/>
        <v>30</v>
      </c>
      <c r="C886" s="39">
        <v>194.20500000000001</v>
      </c>
      <c r="D886" s="39">
        <v>267.46600000000001</v>
      </c>
      <c r="E886" s="45">
        <v>812.32899999999995</v>
      </c>
      <c r="F886" s="39">
        <v>1274</v>
      </c>
      <c r="G886" s="39">
        <v>50</v>
      </c>
      <c r="H886" s="47">
        <v>600</v>
      </c>
      <c r="I886" s="39">
        <v>695</v>
      </c>
      <c r="J886" s="39">
        <v>50</v>
      </c>
      <c r="K886" s="40"/>
      <c r="L886" s="40"/>
      <c r="M886" s="40"/>
      <c r="N886" s="40"/>
      <c r="O886" s="40"/>
      <c r="P886" s="40"/>
      <c r="Q886" s="40"/>
      <c r="R886" s="40"/>
      <c r="S886" s="40"/>
      <c r="T886" s="40"/>
    </row>
    <row r="887" spans="1:20" ht="15.75">
      <c r="A887" s="13">
        <v>68149</v>
      </c>
      <c r="B887" s="48">
        <f t="shared" si="4"/>
        <v>31</v>
      </c>
      <c r="C887" s="39">
        <v>194.20500000000001</v>
      </c>
      <c r="D887" s="39">
        <v>267.46600000000001</v>
      </c>
      <c r="E887" s="45">
        <v>812.32899999999995</v>
      </c>
      <c r="F887" s="39">
        <v>1274</v>
      </c>
      <c r="G887" s="39">
        <v>50</v>
      </c>
      <c r="H887" s="47">
        <v>600</v>
      </c>
      <c r="I887" s="39">
        <v>695</v>
      </c>
      <c r="J887" s="39">
        <v>0</v>
      </c>
      <c r="K887" s="40"/>
      <c r="L887" s="40"/>
      <c r="M887" s="40"/>
      <c r="N887" s="40"/>
      <c r="O887" s="40"/>
      <c r="P887" s="40"/>
      <c r="Q887" s="40"/>
      <c r="R887" s="40"/>
      <c r="S887" s="40"/>
      <c r="T887" s="40"/>
    </row>
    <row r="888" spans="1:20" ht="15.75">
      <c r="A888" s="13">
        <v>68180</v>
      </c>
      <c r="B888" s="48">
        <f t="shared" si="4"/>
        <v>31</v>
      </c>
      <c r="C888" s="39">
        <v>194.20500000000001</v>
      </c>
      <c r="D888" s="39">
        <v>267.46600000000001</v>
      </c>
      <c r="E888" s="45">
        <v>812.32899999999995</v>
      </c>
      <c r="F888" s="39">
        <v>1274</v>
      </c>
      <c r="G888" s="39">
        <v>50</v>
      </c>
      <c r="H888" s="47">
        <v>600</v>
      </c>
      <c r="I888" s="39">
        <v>695</v>
      </c>
      <c r="J888" s="39">
        <v>0</v>
      </c>
      <c r="K888" s="40"/>
      <c r="L888" s="40"/>
      <c r="M888" s="40"/>
      <c r="N888" s="40"/>
      <c r="O888" s="40"/>
      <c r="P888" s="40"/>
      <c r="Q888" s="40"/>
      <c r="R888" s="40"/>
      <c r="S888" s="40"/>
      <c r="T888" s="40"/>
    </row>
    <row r="889" spans="1:20" ht="15.75">
      <c r="A889" s="13">
        <v>68210</v>
      </c>
      <c r="B889" s="48">
        <f t="shared" si="4"/>
        <v>30</v>
      </c>
      <c r="C889" s="39">
        <v>194.20500000000001</v>
      </c>
      <c r="D889" s="39">
        <v>267.46600000000001</v>
      </c>
      <c r="E889" s="45">
        <v>812.32899999999995</v>
      </c>
      <c r="F889" s="39">
        <v>1274</v>
      </c>
      <c r="G889" s="39">
        <v>50</v>
      </c>
      <c r="H889" s="47">
        <v>600</v>
      </c>
      <c r="I889" s="39">
        <v>695</v>
      </c>
      <c r="J889" s="39">
        <v>0</v>
      </c>
      <c r="K889" s="40"/>
      <c r="L889" s="40"/>
      <c r="M889" s="40"/>
      <c r="N889" s="40"/>
      <c r="O889" s="40"/>
      <c r="P889" s="40"/>
      <c r="Q889" s="40"/>
      <c r="R889" s="40"/>
      <c r="S889" s="40"/>
      <c r="T889" s="40"/>
    </row>
    <row r="890" spans="1:20" ht="15.75">
      <c r="A890" s="13">
        <v>68241</v>
      </c>
      <c r="B890" s="48">
        <f t="shared" si="4"/>
        <v>31</v>
      </c>
      <c r="C890" s="39">
        <v>131.881</v>
      </c>
      <c r="D890" s="39">
        <v>277.16699999999997</v>
      </c>
      <c r="E890" s="45">
        <v>829.952</v>
      </c>
      <c r="F890" s="39">
        <v>1239</v>
      </c>
      <c r="G890" s="39">
        <v>75</v>
      </c>
      <c r="H890" s="47">
        <v>600</v>
      </c>
      <c r="I890" s="39">
        <v>695</v>
      </c>
      <c r="J890" s="39">
        <v>0</v>
      </c>
      <c r="K890" s="40"/>
      <c r="L890" s="40"/>
      <c r="M890" s="40"/>
      <c r="N890" s="40"/>
      <c r="O890" s="40"/>
      <c r="P890" s="40"/>
      <c r="Q890" s="40"/>
      <c r="R890" s="40"/>
      <c r="S890" s="40"/>
      <c r="T890" s="40"/>
    </row>
    <row r="891" spans="1:20" ht="15.75">
      <c r="A891" s="13">
        <v>68271</v>
      </c>
      <c r="B891" s="48">
        <f t="shared" si="4"/>
        <v>30</v>
      </c>
      <c r="C891" s="39">
        <v>122.58</v>
      </c>
      <c r="D891" s="39">
        <v>297.94099999999997</v>
      </c>
      <c r="E891" s="45">
        <v>729.47900000000004</v>
      </c>
      <c r="F891" s="39">
        <v>1150</v>
      </c>
      <c r="G891" s="39">
        <v>100</v>
      </c>
      <c r="H891" s="47">
        <v>600</v>
      </c>
      <c r="I891" s="39">
        <v>695</v>
      </c>
      <c r="J891" s="39">
        <v>50</v>
      </c>
      <c r="K891" s="40"/>
      <c r="L891" s="40"/>
      <c r="M891" s="40"/>
      <c r="N891" s="40"/>
      <c r="O891" s="40"/>
      <c r="P891" s="40"/>
      <c r="Q891" s="40"/>
      <c r="R891" s="40"/>
      <c r="S891" s="40"/>
      <c r="T891" s="40"/>
    </row>
    <row r="892" spans="1:20" ht="15.75">
      <c r="A892" s="13">
        <v>68302</v>
      </c>
      <c r="B892" s="48">
        <f t="shared" si="4"/>
        <v>31</v>
      </c>
      <c r="C892" s="39">
        <v>122.58</v>
      </c>
      <c r="D892" s="39">
        <v>297.94099999999997</v>
      </c>
      <c r="E892" s="45">
        <v>729.47900000000004</v>
      </c>
      <c r="F892" s="39">
        <v>1150</v>
      </c>
      <c r="G892" s="39">
        <v>100</v>
      </c>
      <c r="H892" s="47">
        <v>600</v>
      </c>
      <c r="I892" s="39">
        <v>695</v>
      </c>
      <c r="J892" s="39">
        <v>50</v>
      </c>
      <c r="K892" s="40"/>
      <c r="L892" s="40"/>
      <c r="M892" s="40"/>
      <c r="N892" s="40"/>
      <c r="O892" s="40"/>
      <c r="P892" s="40"/>
      <c r="Q892" s="40"/>
      <c r="R892" s="40"/>
      <c r="S892" s="40"/>
      <c r="T892" s="40"/>
    </row>
    <row r="893" spans="1:20" ht="15.75">
      <c r="A893" s="13">
        <v>68333</v>
      </c>
      <c r="B893" s="48">
        <f t="shared" si="4"/>
        <v>31</v>
      </c>
      <c r="C893" s="39">
        <v>122.58</v>
      </c>
      <c r="D893" s="39">
        <v>297.94099999999997</v>
      </c>
      <c r="E893" s="45">
        <v>729.47900000000004</v>
      </c>
      <c r="F893" s="39">
        <v>1150</v>
      </c>
      <c r="G893" s="39">
        <v>100</v>
      </c>
      <c r="H893" s="47">
        <v>600</v>
      </c>
      <c r="I893" s="39">
        <v>695</v>
      </c>
      <c r="J893" s="39">
        <v>50</v>
      </c>
      <c r="K893" s="40"/>
      <c r="L893" s="40"/>
      <c r="M893" s="40"/>
      <c r="N893" s="40"/>
      <c r="O893" s="40"/>
      <c r="P893" s="40"/>
      <c r="Q893" s="40"/>
      <c r="R893" s="40"/>
      <c r="S893" s="40"/>
      <c r="T893" s="40"/>
    </row>
    <row r="894" spans="1:20" ht="15.75">
      <c r="A894" s="13">
        <v>68361</v>
      </c>
      <c r="B894" s="48">
        <f t="shared" si="4"/>
        <v>28</v>
      </c>
      <c r="C894" s="39">
        <v>122.58</v>
      </c>
      <c r="D894" s="39">
        <v>297.94099999999997</v>
      </c>
      <c r="E894" s="45">
        <v>729.47900000000004</v>
      </c>
      <c r="F894" s="39">
        <v>1150</v>
      </c>
      <c r="G894" s="39">
        <v>100</v>
      </c>
      <c r="H894" s="47">
        <v>600</v>
      </c>
      <c r="I894" s="39">
        <v>695</v>
      </c>
      <c r="J894" s="39">
        <v>50</v>
      </c>
      <c r="K894" s="40"/>
      <c r="L894" s="40"/>
      <c r="M894" s="40"/>
      <c r="N894" s="40"/>
      <c r="O894" s="40"/>
      <c r="P894" s="40"/>
      <c r="Q894" s="40"/>
      <c r="R894" s="40"/>
      <c r="S894" s="40"/>
      <c r="T894" s="40"/>
    </row>
    <row r="895" spans="1:20" ht="15.75">
      <c r="A895" s="13">
        <v>68392</v>
      </c>
      <c r="B895" s="48">
        <f t="shared" si="4"/>
        <v>31</v>
      </c>
      <c r="C895" s="39">
        <v>122.58</v>
      </c>
      <c r="D895" s="39">
        <v>297.94099999999997</v>
      </c>
      <c r="E895" s="45">
        <v>729.47900000000004</v>
      </c>
      <c r="F895" s="39">
        <v>1150</v>
      </c>
      <c r="G895" s="39">
        <v>100</v>
      </c>
      <c r="H895" s="47">
        <v>600</v>
      </c>
      <c r="I895" s="39">
        <v>695</v>
      </c>
      <c r="J895" s="39">
        <v>50</v>
      </c>
      <c r="K895" s="40"/>
      <c r="L895" s="40"/>
      <c r="M895" s="40"/>
      <c r="N895" s="40"/>
      <c r="O895" s="40"/>
      <c r="P895" s="40"/>
      <c r="Q895" s="40"/>
      <c r="R895" s="40"/>
      <c r="S895" s="40"/>
      <c r="T895" s="40"/>
    </row>
    <row r="896" spans="1:20" ht="15.75">
      <c r="A896" s="13">
        <v>68422</v>
      </c>
      <c r="B896" s="48">
        <f t="shared" si="4"/>
        <v>30</v>
      </c>
      <c r="C896" s="39">
        <v>141.29300000000001</v>
      </c>
      <c r="D896" s="39">
        <v>267.99299999999999</v>
      </c>
      <c r="E896" s="45">
        <v>829.71400000000006</v>
      </c>
      <c r="F896" s="39">
        <v>1239</v>
      </c>
      <c r="G896" s="39">
        <v>100</v>
      </c>
      <c r="H896" s="47">
        <v>600</v>
      </c>
      <c r="I896" s="39">
        <v>695</v>
      </c>
      <c r="J896" s="39">
        <v>50</v>
      </c>
      <c r="K896" s="40"/>
      <c r="L896" s="40"/>
      <c r="M896" s="40"/>
      <c r="N896" s="40"/>
      <c r="O896" s="40"/>
      <c r="P896" s="40"/>
      <c r="Q896" s="40"/>
      <c r="R896" s="40"/>
      <c r="S896" s="40"/>
      <c r="T896" s="40"/>
    </row>
    <row r="897" spans="1:20" ht="15.75">
      <c r="A897" s="13">
        <v>68453</v>
      </c>
      <c r="B897" s="48">
        <f t="shared" si="4"/>
        <v>31</v>
      </c>
      <c r="C897" s="39">
        <v>194.20500000000001</v>
      </c>
      <c r="D897" s="39">
        <v>267.46600000000001</v>
      </c>
      <c r="E897" s="45">
        <v>812.32899999999995</v>
      </c>
      <c r="F897" s="39">
        <v>1274</v>
      </c>
      <c r="G897" s="39">
        <v>75</v>
      </c>
      <c r="H897" s="47">
        <v>600</v>
      </c>
      <c r="I897" s="39">
        <v>695</v>
      </c>
      <c r="J897" s="39">
        <v>50</v>
      </c>
      <c r="K897" s="40"/>
      <c r="L897" s="40"/>
      <c r="M897" s="40"/>
      <c r="N897" s="40"/>
      <c r="O897" s="40"/>
      <c r="P897" s="40"/>
      <c r="Q897" s="40"/>
      <c r="R897" s="40"/>
      <c r="S897" s="40"/>
      <c r="T897" s="40"/>
    </row>
    <row r="898" spans="1:20" ht="15.75">
      <c r="A898" s="13">
        <v>68483</v>
      </c>
      <c r="B898" s="48">
        <f t="shared" si="4"/>
        <v>30</v>
      </c>
      <c r="C898" s="39">
        <v>194.20500000000001</v>
      </c>
      <c r="D898" s="39">
        <v>267.46600000000001</v>
      </c>
      <c r="E898" s="45">
        <v>812.32899999999995</v>
      </c>
      <c r="F898" s="39">
        <v>1274</v>
      </c>
      <c r="G898" s="39">
        <v>50</v>
      </c>
      <c r="H898" s="47">
        <v>600</v>
      </c>
      <c r="I898" s="39">
        <v>695</v>
      </c>
      <c r="J898" s="39">
        <v>50</v>
      </c>
      <c r="K898" s="40"/>
      <c r="L898" s="40"/>
      <c r="M898" s="40"/>
      <c r="N898" s="40"/>
      <c r="O898" s="40"/>
      <c r="P898" s="40"/>
      <c r="Q898" s="40"/>
      <c r="R898" s="40"/>
      <c r="S898" s="40"/>
      <c r="T898" s="40"/>
    </row>
    <row r="899" spans="1:20" ht="15.75">
      <c r="A899" s="13">
        <v>68514</v>
      </c>
      <c r="B899" s="48">
        <f t="shared" si="4"/>
        <v>31</v>
      </c>
      <c r="C899" s="39">
        <v>194.20500000000001</v>
      </c>
      <c r="D899" s="39">
        <v>267.46600000000001</v>
      </c>
      <c r="E899" s="45">
        <v>812.32899999999995</v>
      </c>
      <c r="F899" s="39">
        <v>1274</v>
      </c>
      <c r="G899" s="39">
        <v>50</v>
      </c>
      <c r="H899" s="47">
        <v>600</v>
      </c>
      <c r="I899" s="39">
        <v>695</v>
      </c>
      <c r="J899" s="39">
        <v>0</v>
      </c>
      <c r="K899" s="40"/>
      <c r="L899" s="40"/>
      <c r="M899" s="40"/>
      <c r="N899" s="40"/>
      <c r="O899" s="40"/>
      <c r="P899" s="40"/>
      <c r="Q899" s="40"/>
      <c r="R899" s="40"/>
      <c r="S899" s="40"/>
      <c r="T899" s="40"/>
    </row>
    <row r="900" spans="1:20" ht="15.75">
      <c r="A900" s="13">
        <v>68545</v>
      </c>
      <c r="B900" s="48">
        <f t="shared" si="4"/>
        <v>31</v>
      </c>
      <c r="C900" s="39">
        <v>194.20500000000001</v>
      </c>
      <c r="D900" s="39">
        <v>267.46600000000001</v>
      </c>
      <c r="E900" s="45">
        <v>812.32899999999995</v>
      </c>
      <c r="F900" s="39">
        <v>1274</v>
      </c>
      <c r="G900" s="39">
        <v>50</v>
      </c>
      <c r="H900" s="47">
        <v>600</v>
      </c>
      <c r="I900" s="39">
        <v>695</v>
      </c>
      <c r="J900" s="39">
        <v>0</v>
      </c>
      <c r="K900" s="40"/>
      <c r="L900" s="40"/>
      <c r="M900" s="40"/>
      <c r="N900" s="40"/>
      <c r="O900" s="40"/>
      <c r="P900" s="40"/>
      <c r="Q900" s="40"/>
      <c r="R900" s="40"/>
      <c r="S900" s="40"/>
      <c r="T900" s="40"/>
    </row>
    <row r="901" spans="1:20" ht="15.75">
      <c r="A901" s="13">
        <v>68575</v>
      </c>
      <c r="B901" s="48">
        <f t="shared" si="4"/>
        <v>30</v>
      </c>
      <c r="C901" s="39">
        <v>194.20500000000001</v>
      </c>
      <c r="D901" s="39">
        <v>267.46600000000001</v>
      </c>
      <c r="E901" s="45">
        <v>812.32899999999995</v>
      </c>
      <c r="F901" s="39">
        <v>1274</v>
      </c>
      <c r="G901" s="39">
        <v>50</v>
      </c>
      <c r="H901" s="47">
        <v>600</v>
      </c>
      <c r="I901" s="39">
        <v>695</v>
      </c>
      <c r="J901" s="39">
        <v>0</v>
      </c>
      <c r="K901" s="40"/>
      <c r="L901" s="40"/>
      <c r="M901" s="40"/>
      <c r="N901" s="40"/>
      <c r="O901" s="40"/>
      <c r="P901" s="40"/>
      <c r="Q901" s="40"/>
      <c r="R901" s="40"/>
      <c r="S901" s="40"/>
      <c r="T901" s="40"/>
    </row>
    <row r="902" spans="1:20" ht="15.75">
      <c r="A902" s="13">
        <v>68606</v>
      </c>
      <c r="B902" s="48">
        <f t="shared" si="4"/>
        <v>31</v>
      </c>
      <c r="C902" s="39">
        <v>131.881</v>
      </c>
      <c r="D902" s="39">
        <v>277.16699999999997</v>
      </c>
      <c r="E902" s="45">
        <v>829.952</v>
      </c>
      <c r="F902" s="39">
        <v>1239</v>
      </c>
      <c r="G902" s="39">
        <v>75</v>
      </c>
      <c r="H902" s="47">
        <v>600</v>
      </c>
      <c r="I902" s="39">
        <v>695</v>
      </c>
      <c r="J902" s="39">
        <v>0</v>
      </c>
      <c r="K902" s="40"/>
      <c r="L902" s="40"/>
      <c r="M902" s="40"/>
      <c r="N902" s="40"/>
      <c r="O902" s="40"/>
      <c r="P902" s="40"/>
      <c r="Q902" s="40"/>
      <c r="R902" s="40"/>
      <c r="S902" s="40"/>
      <c r="T902" s="40"/>
    </row>
    <row r="903" spans="1:20" ht="15.75">
      <c r="A903" s="13">
        <v>68636</v>
      </c>
      <c r="B903" s="48">
        <f t="shared" si="4"/>
        <v>30</v>
      </c>
      <c r="C903" s="39">
        <v>122.58</v>
      </c>
      <c r="D903" s="39">
        <v>297.94099999999997</v>
      </c>
      <c r="E903" s="45">
        <v>729.47900000000004</v>
      </c>
      <c r="F903" s="39">
        <v>1150</v>
      </c>
      <c r="G903" s="39">
        <v>100</v>
      </c>
      <c r="H903" s="47">
        <v>600</v>
      </c>
      <c r="I903" s="39">
        <v>695</v>
      </c>
      <c r="J903" s="39">
        <v>50</v>
      </c>
      <c r="K903" s="40"/>
      <c r="L903" s="40"/>
      <c r="M903" s="40"/>
      <c r="N903" s="40"/>
      <c r="O903" s="40"/>
      <c r="P903" s="40"/>
      <c r="Q903" s="40"/>
      <c r="R903" s="40"/>
      <c r="S903" s="40"/>
      <c r="T903" s="40"/>
    </row>
    <row r="904" spans="1:20" ht="15.75">
      <c r="A904" s="13">
        <v>68667</v>
      </c>
      <c r="B904" s="48">
        <f t="shared" si="4"/>
        <v>31</v>
      </c>
      <c r="C904" s="39">
        <v>122.58</v>
      </c>
      <c r="D904" s="39">
        <v>297.94099999999997</v>
      </c>
      <c r="E904" s="45">
        <v>729.47900000000004</v>
      </c>
      <c r="F904" s="39">
        <v>1150</v>
      </c>
      <c r="G904" s="39">
        <v>100</v>
      </c>
      <c r="H904" s="47">
        <v>600</v>
      </c>
      <c r="I904" s="39">
        <v>695</v>
      </c>
      <c r="J904" s="39">
        <v>50</v>
      </c>
      <c r="K904" s="40"/>
      <c r="L904" s="40"/>
      <c r="M904" s="40"/>
      <c r="N904" s="40"/>
      <c r="O904" s="40"/>
      <c r="P904" s="40"/>
      <c r="Q904" s="40"/>
      <c r="R904" s="40"/>
      <c r="S904" s="40"/>
      <c r="T904" s="40"/>
    </row>
    <row r="905" spans="1:20" ht="15.75">
      <c r="A905" s="13">
        <v>68698</v>
      </c>
      <c r="B905" s="48">
        <f t="shared" si="4"/>
        <v>31</v>
      </c>
      <c r="C905" s="39">
        <v>122.58</v>
      </c>
      <c r="D905" s="39">
        <v>297.94099999999997</v>
      </c>
      <c r="E905" s="45">
        <v>729.47900000000004</v>
      </c>
      <c r="F905" s="39">
        <v>1150</v>
      </c>
      <c r="G905" s="39">
        <v>100</v>
      </c>
      <c r="H905" s="47">
        <v>600</v>
      </c>
      <c r="I905" s="39">
        <v>695</v>
      </c>
      <c r="J905" s="39">
        <v>50</v>
      </c>
      <c r="K905" s="40"/>
      <c r="L905" s="40"/>
      <c r="M905" s="40"/>
      <c r="N905" s="40"/>
      <c r="O905" s="40"/>
      <c r="P905" s="40"/>
      <c r="Q905" s="40"/>
      <c r="R905" s="40"/>
      <c r="S905" s="40"/>
      <c r="T905" s="40"/>
    </row>
    <row r="906" spans="1:20" ht="15.75">
      <c r="A906" s="13">
        <v>68727</v>
      </c>
      <c r="B906" s="48">
        <f t="shared" si="4"/>
        <v>29</v>
      </c>
      <c r="C906" s="39">
        <v>122.58</v>
      </c>
      <c r="D906" s="39">
        <v>297.94099999999997</v>
      </c>
      <c r="E906" s="45">
        <v>729.47900000000004</v>
      </c>
      <c r="F906" s="39">
        <v>1150</v>
      </c>
      <c r="G906" s="39">
        <v>100</v>
      </c>
      <c r="H906" s="47">
        <v>600</v>
      </c>
      <c r="I906" s="39">
        <v>695</v>
      </c>
      <c r="J906" s="39">
        <v>50</v>
      </c>
      <c r="K906" s="40"/>
      <c r="L906" s="40"/>
      <c r="M906" s="40"/>
      <c r="N906" s="40"/>
      <c r="O906" s="40"/>
      <c r="P906" s="40"/>
      <c r="Q906" s="40"/>
      <c r="R906" s="40"/>
      <c r="S906" s="40"/>
      <c r="T906" s="40"/>
    </row>
    <row r="907" spans="1:20" ht="15.75">
      <c r="A907" s="13">
        <v>68758</v>
      </c>
      <c r="B907" s="48">
        <f t="shared" si="4"/>
        <v>31</v>
      </c>
      <c r="C907" s="39">
        <v>122.58</v>
      </c>
      <c r="D907" s="39">
        <v>297.94099999999997</v>
      </c>
      <c r="E907" s="45">
        <v>729.47900000000004</v>
      </c>
      <c r="F907" s="39">
        <v>1150</v>
      </c>
      <c r="G907" s="39">
        <v>100</v>
      </c>
      <c r="H907" s="47">
        <v>600</v>
      </c>
      <c r="I907" s="39">
        <v>695</v>
      </c>
      <c r="J907" s="39">
        <v>50</v>
      </c>
      <c r="K907" s="40"/>
      <c r="L907" s="40"/>
      <c r="M907" s="40"/>
      <c r="N907" s="40"/>
      <c r="O907" s="40"/>
      <c r="P907" s="40"/>
      <c r="Q907" s="40"/>
      <c r="R907" s="40"/>
      <c r="S907" s="40"/>
      <c r="T907" s="40"/>
    </row>
    <row r="908" spans="1:20" ht="15.75">
      <c r="A908" s="13">
        <v>68788</v>
      </c>
      <c r="B908" s="48">
        <f t="shared" si="4"/>
        <v>30</v>
      </c>
      <c r="C908" s="39">
        <v>141.29300000000001</v>
      </c>
      <c r="D908" s="39">
        <v>267.99299999999999</v>
      </c>
      <c r="E908" s="45">
        <v>829.71400000000006</v>
      </c>
      <c r="F908" s="39">
        <v>1239</v>
      </c>
      <c r="G908" s="39">
        <v>100</v>
      </c>
      <c r="H908" s="47">
        <v>600</v>
      </c>
      <c r="I908" s="39">
        <v>695</v>
      </c>
      <c r="J908" s="39">
        <v>50</v>
      </c>
      <c r="K908" s="40"/>
      <c r="L908" s="40"/>
      <c r="M908" s="40"/>
      <c r="N908" s="40"/>
      <c r="O908" s="40"/>
      <c r="P908" s="40"/>
      <c r="Q908" s="40"/>
      <c r="R908" s="40"/>
      <c r="S908" s="40"/>
      <c r="T908" s="40"/>
    </row>
    <row r="909" spans="1:20" ht="15.75">
      <c r="A909" s="13">
        <v>68819</v>
      </c>
      <c r="B909" s="48">
        <f t="shared" si="4"/>
        <v>31</v>
      </c>
      <c r="C909" s="39">
        <v>194.20500000000001</v>
      </c>
      <c r="D909" s="39">
        <v>267.46600000000001</v>
      </c>
      <c r="E909" s="45">
        <v>812.32899999999995</v>
      </c>
      <c r="F909" s="39">
        <v>1274</v>
      </c>
      <c r="G909" s="39">
        <v>75</v>
      </c>
      <c r="H909" s="47">
        <v>600</v>
      </c>
      <c r="I909" s="39">
        <v>695</v>
      </c>
      <c r="J909" s="39">
        <v>50</v>
      </c>
      <c r="K909" s="40"/>
      <c r="L909" s="40"/>
      <c r="M909" s="40"/>
      <c r="N909" s="40"/>
      <c r="O909" s="40"/>
      <c r="P909" s="40"/>
      <c r="Q909" s="40"/>
      <c r="R909" s="40"/>
      <c r="S909" s="40"/>
      <c r="T909" s="40"/>
    </row>
    <row r="910" spans="1:20" ht="15.75">
      <c r="A910" s="13">
        <v>68849</v>
      </c>
      <c r="B910" s="48">
        <f t="shared" si="4"/>
        <v>30</v>
      </c>
      <c r="C910" s="39">
        <v>194.20500000000001</v>
      </c>
      <c r="D910" s="39">
        <v>267.46600000000001</v>
      </c>
      <c r="E910" s="45">
        <v>812.32899999999995</v>
      </c>
      <c r="F910" s="39">
        <v>1274</v>
      </c>
      <c r="G910" s="39">
        <v>50</v>
      </c>
      <c r="H910" s="47">
        <v>600</v>
      </c>
      <c r="I910" s="39">
        <v>695</v>
      </c>
      <c r="J910" s="39">
        <v>50</v>
      </c>
      <c r="K910" s="40"/>
      <c r="L910" s="40"/>
      <c r="M910" s="40"/>
      <c r="N910" s="40"/>
      <c r="O910" s="40"/>
      <c r="P910" s="40"/>
      <c r="Q910" s="40"/>
      <c r="R910" s="40"/>
      <c r="S910" s="40"/>
      <c r="T910" s="40"/>
    </row>
    <row r="911" spans="1:20" ht="15.75">
      <c r="A911" s="13">
        <v>68880</v>
      </c>
      <c r="B911" s="48">
        <f t="shared" si="4"/>
        <v>31</v>
      </c>
      <c r="C911" s="39">
        <v>194.20500000000001</v>
      </c>
      <c r="D911" s="39">
        <v>267.46600000000001</v>
      </c>
      <c r="E911" s="45">
        <v>812.32899999999995</v>
      </c>
      <c r="F911" s="39">
        <v>1274</v>
      </c>
      <c r="G911" s="39">
        <v>50</v>
      </c>
      <c r="H911" s="47">
        <v>600</v>
      </c>
      <c r="I911" s="39">
        <v>695</v>
      </c>
      <c r="J911" s="39">
        <v>0</v>
      </c>
      <c r="K911" s="40"/>
      <c r="L911" s="40"/>
      <c r="M911" s="40"/>
      <c r="N911" s="40"/>
      <c r="O911" s="40"/>
      <c r="P911" s="40"/>
      <c r="Q911" s="40"/>
      <c r="R911" s="40"/>
      <c r="S911" s="40"/>
      <c r="T911" s="40"/>
    </row>
    <row r="912" spans="1:20" ht="15.75">
      <c r="A912" s="13">
        <v>68911</v>
      </c>
      <c r="B912" s="48">
        <f t="shared" si="4"/>
        <v>31</v>
      </c>
      <c r="C912" s="39">
        <v>194.20500000000001</v>
      </c>
      <c r="D912" s="39">
        <v>267.46600000000001</v>
      </c>
      <c r="E912" s="45">
        <v>812.32899999999995</v>
      </c>
      <c r="F912" s="39">
        <v>1274</v>
      </c>
      <c r="G912" s="39">
        <v>50</v>
      </c>
      <c r="H912" s="47">
        <v>600</v>
      </c>
      <c r="I912" s="39">
        <v>695</v>
      </c>
      <c r="J912" s="39">
        <v>0</v>
      </c>
      <c r="K912" s="40"/>
      <c r="L912" s="40"/>
      <c r="M912" s="40"/>
      <c r="N912" s="40"/>
      <c r="O912" s="40"/>
      <c r="P912" s="40"/>
      <c r="Q912" s="40"/>
      <c r="R912" s="40"/>
      <c r="S912" s="40"/>
      <c r="T912" s="40"/>
    </row>
    <row r="913" spans="1:20" ht="15.75">
      <c r="A913" s="13">
        <v>68941</v>
      </c>
      <c r="B913" s="48">
        <f t="shared" ref="B913:B976" si="5">EOMONTH(A913,0)-EOMONTH(A913,-1)</f>
        <v>30</v>
      </c>
      <c r="C913" s="39">
        <v>194.20500000000001</v>
      </c>
      <c r="D913" s="39">
        <v>267.46600000000001</v>
      </c>
      <c r="E913" s="45">
        <v>812.32899999999995</v>
      </c>
      <c r="F913" s="39">
        <v>1274</v>
      </c>
      <c r="G913" s="39">
        <v>50</v>
      </c>
      <c r="H913" s="47">
        <v>600</v>
      </c>
      <c r="I913" s="39">
        <v>695</v>
      </c>
      <c r="J913" s="39">
        <v>0</v>
      </c>
      <c r="K913" s="40"/>
      <c r="L913" s="40"/>
      <c r="M913" s="40"/>
      <c r="N913" s="40"/>
      <c r="O913" s="40"/>
      <c r="P913" s="40"/>
      <c r="Q913" s="40"/>
      <c r="R913" s="40"/>
      <c r="S913" s="40"/>
      <c r="T913" s="40"/>
    </row>
    <row r="914" spans="1:20" ht="15.75">
      <c r="A914" s="13">
        <v>68972</v>
      </c>
      <c r="B914" s="48">
        <f t="shared" si="5"/>
        <v>31</v>
      </c>
      <c r="C914" s="39">
        <v>131.881</v>
      </c>
      <c r="D914" s="39">
        <v>277.16699999999997</v>
      </c>
      <c r="E914" s="45">
        <v>829.952</v>
      </c>
      <c r="F914" s="39">
        <v>1239</v>
      </c>
      <c r="G914" s="39">
        <v>75</v>
      </c>
      <c r="H914" s="47">
        <v>600</v>
      </c>
      <c r="I914" s="39">
        <v>695</v>
      </c>
      <c r="J914" s="39">
        <v>0</v>
      </c>
      <c r="K914" s="40"/>
      <c r="L914" s="40"/>
      <c r="M914" s="40"/>
      <c r="N914" s="40"/>
      <c r="O914" s="40"/>
      <c r="P914" s="40"/>
      <c r="Q914" s="40"/>
      <c r="R914" s="40"/>
      <c r="S914" s="40"/>
      <c r="T914" s="40"/>
    </row>
    <row r="915" spans="1:20" ht="15.75">
      <c r="A915" s="13">
        <v>69002</v>
      </c>
      <c r="B915" s="48">
        <f t="shared" si="5"/>
        <v>30</v>
      </c>
      <c r="C915" s="39">
        <v>122.58</v>
      </c>
      <c r="D915" s="39">
        <v>297.94099999999997</v>
      </c>
      <c r="E915" s="45">
        <v>729.47900000000004</v>
      </c>
      <c r="F915" s="39">
        <v>1150</v>
      </c>
      <c r="G915" s="39">
        <v>100</v>
      </c>
      <c r="H915" s="47">
        <v>600</v>
      </c>
      <c r="I915" s="39">
        <v>695</v>
      </c>
      <c r="J915" s="39">
        <v>50</v>
      </c>
      <c r="K915" s="40"/>
      <c r="L915" s="40"/>
      <c r="M915" s="40"/>
      <c r="N915" s="40"/>
      <c r="O915" s="40"/>
      <c r="P915" s="40"/>
      <c r="Q915" s="40"/>
      <c r="R915" s="40"/>
      <c r="S915" s="40"/>
      <c r="T915" s="40"/>
    </row>
    <row r="916" spans="1:20" ht="15.75">
      <c r="A916" s="13">
        <v>69033</v>
      </c>
      <c r="B916" s="48">
        <f t="shared" si="5"/>
        <v>31</v>
      </c>
      <c r="C916" s="39">
        <v>122.58</v>
      </c>
      <c r="D916" s="39">
        <v>297.94099999999997</v>
      </c>
      <c r="E916" s="45">
        <v>729.47900000000004</v>
      </c>
      <c r="F916" s="39">
        <v>1150</v>
      </c>
      <c r="G916" s="39">
        <v>100</v>
      </c>
      <c r="H916" s="47">
        <v>600</v>
      </c>
      <c r="I916" s="39">
        <v>695</v>
      </c>
      <c r="J916" s="39">
        <v>50</v>
      </c>
      <c r="K916" s="40"/>
      <c r="L916" s="40"/>
      <c r="M916" s="40"/>
      <c r="N916" s="40"/>
      <c r="O916" s="40"/>
      <c r="P916" s="40"/>
      <c r="Q916" s="40"/>
      <c r="R916" s="40"/>
      <c r="S916" s="40"/>
      <c r="T916" s="40"/>
    </row>
    <row r="917" spans="1:20" ht="15.75">
      <c r="A917" s="13">
        <v>69064</v>
      </c>
      <c r="B917" s="48">
        <f t="shared" si="5"/>
        <v>31</v>
      </c>
      <c r="C917" s="39">
        <v>122.58</v>
      </c>
      <c r="D917" s="39">
        <v>297.94099999999997</v>
      </c>
      <c r="E917" s="45">
        <v>729.47900000000004</v>
      </c>
      <c r="F917" s="39">
        <v>1150</v>
      </c>
      <c r="G917" s="39">
        <v>100</v>
      </c>
      <c r="H917" s="47">
        <v>600</v>
      </c>
      <c r="I917" s="39">
        <v>695</v>
      </c>
      <c r="J917" s="39">
        <v>50</v>
      </c>
      <c r="K917" s="40"/>
      <c r="L917" s="40"/>
      <c r="M917" s="40"/>
      <c r="N917" s="40"/>
      <c r="O917" s="40"/>
      <c r="P917" s="40"/>
      <c r="Q917" s="40"/>
      <c r="R917" s="40"/>
      <c r="S917" s="40"/>
      <c r="T917" s="40"/>
    </row>
    <row r="918" spans="1:20" ht="15.75">
      <c r="A918" s="13">
        <v>69092</v>
      </c>
      <c r="B918" s="48">
        <f t="shared" si="5"/>
        <v>28</v>
      </c>
      <c r="C918" s="39">
        <v>122.58</v>
      </c>
      <c r="D918" s="39">
        <v>297.94099999999997</v>
      </c>
      <c r="E918" s="45">
        <v>729.47900000000004</v>
      </c>
      <c r="F918" s="39">
        <v>1150</v>
      </c>
      <c r="G918" s="39">
        <v>100</v>
      </c>
      <c r="H918" s="47">
        <v>600</v>
      </c>
      <c r="I918" s="39">
        <v>695</v>
      </c>
      <c r="J918" s="39">
        <v>50</v>
      </c>
      <c r="K918" s="40"/>
      <c r="L918" s="40"/>
      <c r="M918" s="40"/>
      <c r="N918" s="40"/>
      <c r="O918" s="40"/>
      <c r="P918" s="40"/>
      <c r="Q918" s="40"/>
      <c r="R918" s="40"/>
      <c r="S918" s="40"/>
      <c r="T918" s="40"/>
    </row>
    <row r="919" spans="1:20" ht="15.75">
      <c r="A919" s="13">
        <v>69123</v>
      </c>
      <c r="B919" s="48">
        <f t="shared" si="5"/>
        <v>31</v>
      </c>
      <c r="C919" s="39">
        <v>122.58</v>
      </c>
      <c r="D919" s="39">
        <v>297.94099999999997</v>
      </c>
      <c r="E919" s="45">
        <v>729.47900000000004</v>
      </c>
      <c r="F919" s="39">
        <v>1150</v>
      </c>
      <c r="G919" s="39">
        <v>100</v>
      </c>
      <c r="H919" s="47">
        <v>600</v>
      </c>
      <c r="I919" s="39">
        <v>695</v>
      </c>
      <c r="J919" s="39">
        <v>50</v>
      </c>
      <c r="K919" s="40"/>
      <c r="L919" s="40"/>
      <c r="M919" s="40"/>
      <c r="N919" s="40"/>
      <c r="O919" s="40"/>
      <c r="P919" s="40"/>
      <c r="Q919" s="40"/>
      <c r="R919" s="40"/>
      <c r="S919" s="40"/>
      <c r="T919" s="40"/>
    </row>
    <row r="920" spans="1:20" ht="15.75">
      <c r="A920" s="13">
        <v>69153</v>
      </c>
      <c r="B920" s="48">
        <f t="shared" si="5"/>
        <v>30</v>
      </c>
      <c r="C920" s="39">
        <v>141.29300000000001</v>
      </c>
      <c r="D920" s="39">
        <v>267.99299999999999</v>
      </c>
      <c r="E920" s="45">
        <v>829.71400000000006</v>
      </c>
      <c r="F920" s="39">
        <v>1239</v>
      </c>
      <c r="G920" s="39">
        <v>100</v>
      </c>
      <c r="H920" s="47">
        <v>600</v>
      </c>
      <c r="I920" s="39">
        <v>695</v>
      </c>
      <c r="J920" s="39">
        <v>50</v>
      </c>
      <c r="K920" s="40"/>
      <c r="L920" s="40"/>
      <c r="M920" s="40"/>
      <c r="N920" s="40"/>
      <c r="O920" s="40"/>
      <c r="P920" s="40"/>
      <c r="Q920" s="40"/>
      <c r="R920" s="40"/>
      <c r="S920" s="40"/>
      <c r="T920" s="40"/>
    </row>
    <row r="921" spans="1:20" ht="15.75">
      <c r="A921" s="13">
        <v>69184</v>
      </c>
      <c r="B921" s="48">
        <f t="shared" si="5"/>
        <v>31</v>
      </c>
      <c r="C921" s="39">
        <v>194.20500000000001</v>
      </c>
      <c r="D921" s="39">
        <v>267.46600000000001</v>
      </c>
      <c r="E921" s="45">
        <v>812.32899999999995</v>
      </c>
      <c r="F921" s="39">
        <v>1274</v>
      </c>
      <c r="G921" s="39">
        <v>75</v>
      </c>
      <c r="H921" s="47">
        <v>600</v>
      </c>
      <c r="I921" s="39">
        <v>695</v>
      </c>
      <c r="J921" s="39">
        <v>50</v>
      </c>
      <c r="K921" s="40"/>
      <c r="L921" s="40"/>
      <c r="M921" s="40"/>
      <c r="N921" s="40"/>
      <c r="O921" s="40"/>
      <c r="P921" s="40"/>
      <c r="Q921" s="40"/>
      <c r="R921" s="40"/>
      <c r="S921" s="40"/>
      <c r="T921" s="40"/>
    </row>
    <row r="922" spans="1:20" ht="15.75">
      <c r="A922" s="13">
        <v>69214</v>
      </c>
      <c r="B922" s="48">
        <f t="shared" si="5"/>
        <v>30</v>
      </c>
      <c r="C922" s="39">
        <v>194.20500000000001</v>
      </c>
      <c r="D922" s="39">
        <v>267.46600000000001</v>
      </c>
      <c r="E922" s="45">
        <v>812.32899999999995</v>
      </c>
      <c r="F922" s="39">
        <v>1274</v>
      </c>
      <c r="G922" s="39">
        <v>50</v>
      </c>
      <c r="H922" s="47">
        <v>600</v>
      </c>
      <c r="I922" s="39">
        <v>695</v>
      </c>
      <c r="J922" s="39">
        <v>50</v>
      </c>
      <c r="K922" s="40"/>
      <c r="L922" s="40"/>
      <c r="M922" s="40"/>
      <c r="N922" s="40"/>
      <c r="O922" s="40"/>
      <c r="P922" s="40"/>
      <c r="Q922" s="40"/>
      <c r="R922" s="40"/>
      <c r="S922" s="40"/>
      <c r="T922" s="40"/>
    </row>
    <row r="923" spans="1:20" ht="15.75">
      <c r="A923" s="13">
        <v>69245</v>
      </c>
      <c r="B923" s="48">
        <f t="shared" si="5"/>
        <v>31</v>
      </c>
      <c r="C923" s="39">
        <v>194.20500000000001</v>
      </c>
      <c r="D923" s="39">
        <v>267.46600000000001</v>
      </c>
      <c r="E923" s="45">
        <v>812.32899999999995</v>
      </c>
      <c r="F923" s="39">
        <v>1274</v>
      </c>
      <c r="G923" s="39">
        <v>50</v>
      </c>
      <c r="H923" s="47">
        <v>600</v>
      </c>
      <c r="I923" s="39">
        <v>695</v>
      </c>
      <c r="J923" s="39">
        <v>0</v>
      </c>
      <c r="K923" s="40"/>
      <c r="L923" s="40"/>
      <c r="M923" s="40"/>
      <c r="N923" s="40"/>
      <c r="O923" s="40"/>
      <c r="P923" s="40"/>
      <c r="Q923" s="40"/>
      <c r="R923" s="40"/>
      <c r="S923" s="40"/>
      <c r="T923" s="40"/>
    </row>
    <row r="924" spans="1:20" ht="15.75">
      <c r="A924" s="13">
        <v>69276</v>
      </c>
      <c r="B924" s="48">
        <f t="shared" si="5"/>
        <v>31</v>
      </c>
      <c r="C924" s="39">
        <v>194.20500000000001</v>
      </c>
      <c r="D924" s="39">
        <v>267.46600000000001</v>
      </c>
      <c r="E924" s="45">
        <v>812.32899999999995</v>
      </c>
      <c r="F924" s="39">
        <v>1274</v>
      </c>
      <c r="G924" s="39">
        <v>50</v>
      </c>
      <c r="H924" s="47">
        <v>600</v>
      </c>
      <c r="I924" s="39">
        <v>695</v>
      </c>
      <c r="J924" s="39">
        <v>0</v>
      </c>
      <c r="K924" s="40"/>
      <c r="L924" s="40"/>
      <c r="M924" s="40"/>
      <c r="N924" s="40"/>
      <c r="O924" s="40"/>
      <c r="P924" s="40"/>
      <c r="Q924" s="40"/>
      <c r="R924" s="40"/>
      <c r="S924" s="40"/>
      <c r="T924" s="40"/>
    </row>
    <row r="925" spans="1:20" ht="15.75">
      <c r="A925" s="13">
        <v>69306</v>
      </c>
      <c r="B925" s="48">
        <f t="shared" si="5"/>
        <v>30</v>
      </c>
      <c r="C925" s="39">
        <v>194.20500000000001</v>
      </c>
      <c r="D925" s="39">
        <v>267.46600000000001</v>
      </c>
      <c r="E925" s="45">
        <v>812.32899999999995</v>
      </c>
      <c r="F925" s="39">
        <v>1274</v>
      </c>
      <c r="G925" s="39">
        <v>50</v>
      </c>
      <c r="H925" s="47">
        <v>600</v>
      </c>
      <c r="I925" s="39">
        <v>695</v>
      </c>
      <c r="J925" s="39">
        <v>0</v>
      </c>
      <c r="K925" s="40"/>
      <c r="L925" s="40"/>
      <c r="M925" s="40"/>
      <c r="N925" s="40"/>
      <c r="O925" s="40"/>
      <c r="P925" s="40"/>
      <c r="Q925" s="40"/>
      <c r="R925" s="40"/>
      <c r="S925" s="40"/>
      <c r="T925" s="40"/>
    </row>
    <row r="926" spans="1:20" ht="15.75">
      <c r="A926" s="13">
        <v>69337</v>
      </c>
      <c r="B926" s="48">
        <f t="shared" si="5"/>
        <v>31</v>
      </c>
      <c r="C926" s="39">
        <v>131.881</v>
      </c>
      <c r="D926" s="39">
        <v>277.16699999999997</v>
      </c>
      <c r="E926" s="45">
        <v>829.952</v>
      </c>
      <c r="F926" s="39">
        <v>1239</v>
      </c>
      <c r="G926" s="39">
        <v>75</v>
      </c>
      <c r="H926" s="47">
        <v>600</v>
      </c>
      <c r="I926" s="39">
        <v>695</v>
      </c>
      <c r="J926" s="39">
        <v>0</v>
      </c>
      <c r="K926" s="40"/>
      <c r="L926" s="40"/>
      <c r="M926" s="40"/>
      <c r="N926" s="40"/>
      <c r="O926" s="40"/>
      <c r="P926" s="40"/>
      <c r="Q926" s="40"/>
      <c r="R926" s="40"/>
      <c r="S926" s="40"/>
      <c r="T926" s="40"/>
    </row>
    <row r="927" spans="1:20" ht="15.75">
      <c r="A927" s="13">
        <v>69367</v>
      </c>
      <c r="B927" s="48">
        <f t="shared" si="5"/>
        <v>30</v>
      </c>
      <c r="C927" s="39">
        <v>122.58</v>
      </c>
      <c r="D927" s="39">
        <v>297.94099999999997</v>
      </c>
      <c r="E927" s="45">
        <v>729.47900000000004</v>
      </c>
      <c r="F927" s="39">
        <v>1150</v>
      </c>
      <c r="G927" s="39">
        <v>100</v>
      </c>
      <c r="H927" s="47">
        <v>600</v>
      </c>
      <c r="I927" s="39">
        <v>695</v>
      </c>
      <c r="J927" s="39">
        <v>50</v>
      </c>
      <c r="K927" s="40"/>
      <c r="L927" s="40"/>
      <c r="M927" s="40"/>
      <c r="N927" s="40"/>
      <c r="O927" s="40"/>
      <c r="P927" s="40"/>
      <c r="Q927" s="40"/>
      <c r="R927" s="40"/>
      <c r="S927" s="40"/>
      <c r="T927" s="40"/>
    </row>
    <row r="928" spans="1:20" ht="15.75">
      <c r="A928" s="13">
        <v>69398</v>
      </c>
      <c r="B928" s="48">
        <f t="shared" si="5"/>
        <v>31</v>
      </c>
      <c r="C928" s="39">
        <v>122.58</v>
      </c>
      <c r="D928" s="39">
        <v>297.94099999999997</v>
      </c>
      <c r="E928" s="45">
        <v>729.47900000000004</v>
      </c>
      <c r="F928" s="39">
        <v>1150</v>
      </c>
      <c r="G928" s="39">
        <v>100</v>
      </c>
      <c r="H928" s="47">
        <v>600</v>
      </c>
      <c r="I928" s="39">
        <v>695</v>
      </c>
      <c r="J928" s="39">
        <v>50</v>
      </c>
      <c r="K928" s="40"/>
      <c r="L928" s="40"/>
      <c r="M928" s="40"/>
      <c r="N928" s="40"/>
      <c r="O928" s="40"/>
      <c r="P928" s="40"/>
      <c r="Q928" s="40"/>
      <c r="R928" s="40"/>
      <c r="S928" s="40"/>
      <c r="T928" s="40"/>
    </row>
    <row r="929" spans="1:20" ht="15.75">
      <c r="A929" s="13">
        <v>69429</v>
      </c>
      <c r="B929" s="48">
        <f t="shared" si="5"/>
        <v>31</v>
      </c>
      <c r="C929" s="39">
        <v>122.58</v>
      </c>
      <c r="D929" s="39">
        <v>297.94099999999997</v>
      </c>
      <c r="E929" s="45">
        <v>729.47900000000004</v>
      </c>
      <c r="F929" s="39">
        <v>1150</v>
      </c>
      <c r="G929" s="39">
        <v>100</v>
      </c>
      <c r="H929" s="47">
        <v>600</v>
      </c>
      <c r="I929" s="39">
        <v>695</v>
      </c>
      <c r="J929" s="39">
        <v>50</v>
      </c>
      <c r="K929" s="40"/>
      <c r="L929" s="40"/>
      <c r="M929" s="40"/>
      <c r="N929" s="40"/>
      <c r="O929" s="40"/>
      <c r="P929" s="40"/>
      <c r="Q929" s="40"/>
      <c r="R929" s="40"/>
      <c r="S929" s="40"/>
      <c r="T929" s="40"/>
    </row>
    <row r="930" spans="1:20" ht="15.75">
      <c r="A930" s="13">
        <v>69457</v>
      </c>
      <c r="B930" s="48">
        <f t="shared" si="5"/>
        <v>28</v>
      </c>
      <c r="C930" s="39">
        <v>122.58</v>
      </c>
      <c r="D930" s="39">
        <v>297.94099999999997</v>
      </c>
      <c r="E930" s="45">
        <v>729.47900000000004</v>
      </c>
      <c r="F930" s="39">
        <v>1150</v>
      </c>
      <c r="G930" s="39">
        <v>100</v>
      </c>
      <c r="H930" s="47">
        <v>600</v>
      </c>
      <c r="I930" s="39">
        <v>695</v>
      </c>
      <c r="J930" s="39">
        <v>50</v>
      </c>
      <c r="K930" s="40"/>
      <c r="L930" s="40"/>
      <c r="M930" s="40"/>
      <c r="N930" s="40"/>
      <c r="O930" s="40"/>
      <c r="P930" s="40"/>
      <c r="Q930" s="40"/>
      <c r="R930" s="40"/>
      <c r="S930" s="40"/>
      <c r="T930" s="40"/>
    </row>
    <row r="931" spans="1:20" ht="15.75">
      <c r="A931" s="13">
        <v>69488</v>
      </c>
      <c r="B931" s="48">
        <f t="shared" si="5"/>
        <v>31</v>
      </c>
      <c r="C931" s="39">
        <v>122.58</v>
      </c>
      <c r="D931" s="39">
        <v>297.94099999999997</v>
      </c>
      <c r="E931" s="45">
        <v>729.47900000000004</v>
      </c>
      <c r="F931" s="39">
        <v>1150</v>
      </c>
      <c r="G931" s="39">
        <v>100</v>
      </c>
      <c r="H931" s="47">
        <v>600</v>
      </c>
      <c r="I931" s="39">
        <v>695</v>
      </c>
      <c r="J931" s="39">
        <v>50</v>
      </c>
      <c r="K931" s="40"/>
      <c r="L931" s="40"/>
      <c r="M931" s="40"/>
      <c r="N931" s="40"/>
      <c r="O931" s="40"/>
      <c r="P931" s="40"/>
      <c r="Q931" s="40"/>
      <c r="R931" s="40"/>
      <c r="S931" s="40"/>
      <c r="T931" s="40"/>
    </row>
    <row r="932" spans="1:20" ht="15.75">
      <c r="A932" s="13">
        <v>69518</v>
      </c>
      <c r="B932" s="48">
        <f t="shared" si="5"/>
        <v>30</v>
      </c>
      <c r="C932" s="39">
        <v>141.29300000000001</v>
      </c>
      <c r="D932" s="39">
        <v>267.99299999999999</v>
      </c>
      <c r="E932" s="45">
        <v>829.71400000000006</v>
      </c>
      <c r="F932" s="39">
        <v>1239</v>
      </c>
      <c r="G932" s="39">
        <v>100</v>
      </c>
      <c r="H932" s="47">
        <v>600</v>
      </c>
      <c r="I932" s="39">
        <v>695</v>
      </c>
      <c r="J932" s="39">
        <v>50</v>
      </c>
      <c r="K932" s="40"/>
      <c r="L932" s="40"/>
      <c r="M932" s="40"/>
      <c r="N932" s="40"/>
      <c r="O932" s="40"/>
      <c r="P932" s="40"/>
      <c r="Q932" s="40"/>
      <c r="R932" s="40"/>
      <c r="S932" s="40"/>
      <c r="T932" s="40"/>
    </row>
    <row r="933" spans="1:20" ht="15.75">
      <c r="A933" s="13">
        <v>69549</v>
      </c>
      <c r="B933" s="48">
        <f t="shared" si="5"/>
        <v>31</v>
      </c>
      <c r="C933" s="39">
        <v>194.20500000000001</v>
      </c>
      <c r="D933" s="39">
        <v>267.46600000000001</v>
      </c>
      <c r="E933" s="45">
        <v>812.32899999999995</v>
      </c>
      <c r="F933" s="39">
        <v>1274</v>
      </c>
      <c r="G933" s="39">
        <v>75</v>
      </c>
      <c r="H933" s="47">
        <v>600</v>
      </c>
      <c r="I933" s="39">
        <v>695</v>
      </c>
      <c r="J933" s="39">
        <v>50</v>
      </c>
      <c r="K933" s="40"/>
      <c r="L933" s="40"/>
      <c r="M933" s="40"/>
      <c r="N933" s="40"/>
      <c r="O933" s="40"/>
      <c r="P933" s="40"/>
      <c r="Q933" s="40"/>
      <c r="R933" s="40"/>
      <c r="S933" s="40"/>
      <c r="T933" s="40"/>
    </row>
    <row r="934" spans="1:20" ht="15.75">
      <c r="A934" s="13">
        <v>69579</v>
      </c>
      <c r="B934" s="48">
        <f t="shared" si="5"/>
        <v>30</v>
      </c>
      <c r="C934" s="39">
        <v>194.20500000000001</v>
      </c>
      <c r="D934" s="39">
        <v>267.46600000000001</v>
      </c>
      <c r="E934" s="45">
        <v>812.32899999999995</v>
      </c>
      <c r="F934" s="39">
        <v>1274</v>
      </c>
      <c r="G934" s="39">
        <v>50</v>
      </c>
      <c r="H934" s="47">
        <v>600</v>
      </c>
      <c r="I934" s="39">
        <v>695</v>
      </c>
      <c r="J934" s="39">
        <v>50</v>
      </c>
      <c r="K934" s="40"/>
      <c r="L934" s="40"/>
      <c r="M934" s="40"/>
      <c r="N934" s="40"/>
      <c r="O934" s="40"/>
      <c r="P934" s="40"/>
      <c r="Q934" s="40"/>
      <c r="R934" s="40"/>
      <c r="S934" s="40"/>
      <c r="T934" s="40"/>
    </row>
    <row r="935" spans="1:20" ht="15.75">
      <c r="A935" s="13">
        <v>69610</v>
      </c>
      <c r="B935" s="48">
        <f t="shared" si="5"/>
        <v>31</v>
      </c>
      <c r="C935" s="39">
        <v>194.20500000000001</v>
      </c>
      <c r="D935" s="39">
        <v>267.46600000000001</v>
      </c>
      <c r="E935" s="45">
        <v>812.32899999999995</v>
      </c>
      <c r="F935" s="39">
        <v>1274</v>
      </c>
      <c r="G935" s="39">
        <v>50</v>
      </c>
      <c r="H935" s="47">
        <v>600</v>
      </c>
      <c r="I935" s="39">
        <v>695</v>
      </c>
      <c r="J935" s="39">
        <v>0</v>
      </c>
      <c r="K935" s="40"/>
      <c r="L935" s="40"/>
      <c r="M935" s="40"/>
      <c r="N935" s="40"/>
      <c r="O935" s="40"/>
      <c r="P935" s="40"/>
      <c r="Q935" s="40"/>
      <c r="R935" s="40"/>
      <c r="S935" s="40"/>
      <c r="T935" s="40"/>
    </row>
    <row r="936" spans="1:20" ht="15.75">
      <c r="A936" s="13">
        <v>69641</v>
      </c>
      <c r="B936" s="48">
        <f t="shared" si="5"/>
        <v>31</v>
      </c>
      <c r="C936" s="39">
        <v>194.20500000000001</v>
      </c>
      <c r="D936" s="39">
        <v>267.46600000000001</v>
      </c>
      <c r="E936" s="45">
        <v>812.32899999999995</v>
      </c>
      <c r="F936" s="39">
        <v>1274</v>
      </c>
      <c r="G936" s="39">
        <v>50</v>
      </c>
      <c r="H936" s="47">
        <v>600</v>
      </c>
      <c r="I936" s="39">
        <v>695</v>
      </c>
      <c r="J936" s="39">
        <v>0</v>
      </c>
      <c r="K936" s="40"/>
      <c r="L936" s="40"/>
      <c r="M936" s="40"/>
      <c r="N936" s="40"/>
      <c r="O936" s="40"/>
      <c r="P936" s="40"/>
      <c r="Q936" s="40"/>
      <c r="R936" s="40"/>
      <c r="S936" s="40"/>
      <c r="T936" s="40"/>
    </row>
    <row r="937" spans="1:20" ht="15.75">
      <c r="A937" s="13">
        <v>69671</v>
      </c>
      <c r="B937" s="48">
        <f t="shared" si="5"/>
        <v>30</v>
      </c>
      <c r="C937" s="39">
        <v>194.20500000000001</v>
      </c>
      <c r="D937" s="39">
        <v>267.46600000000001</v>
      </c>
      <c r="E937" s="45">
        <v>812.32899999999995</v>
      </c>
      <c r="F937" s="39">
        <v>1274</v>
      </c>
      <c r="G937" s="39">
        <v>50</v>
      </c>
      <c r="H937" s="47">
        <v>600</v>
      </c>
      <c r="I937" s="39">
        <v>695</v>
      </c>
      <c r="J937" s="39">
        <v>0</v>
      </c>
      <c r="K937" s="40"/>
      <c r="L937" s="40"/>
      <c r="M937" s="40"/>
      <c r="N937" s="40"/>
      <c r="O937" s="40"/>
      <c r="P937" s="40"/>
      <c r="Q937" s="40"/>
      <c r="R937" s="40"/>
      <c r="S937" s="40"/>
      <c r="T937" s="40"/>
    </row>
    <row r="938" spans="1:20" ht="15.75">
      <c r="A938" s="13">
        <v>69702</v>
      </c>
      <c r="B938" s="48">
        <f t="shared" si="5"/>
        <v>31</v>
      </c>
      <c r="C938" s="39">
        <v>131.881</v>
      </c>
      <c r="D938" s="39">
        <v>277.16699999999997</v>
      </c>
      <c r="E938" s="45">
        <v>829.952</v>
      </c>
      <c r="F938" s="39">
        <v>1239</v>
      </c>
      <c r="G938" s="39">
        <v>75</v>
      </c>
      <c r="H938" s="47">
        <v>600</v>
      </c>
      <c r="I938" s="39">
        <v>695</v>
      </c>
      <c r="J938" s="39">
        <v>0</v>
      </c>
      <c r="K938" s="40"/>
      <c r="L938" s="40"/>
      <c r="M938" s="40"/>
      <c r="N938" s="40"/>
      <c r="O938" s="40"/>
      <c r="P938" s="40"/>
      <c r="Q938" s="40"/>
      <c r="R938" s="40"/>
      <c r="S938" s="40"/>
      <c r="T938" s="40"/>
    </row>
    <row r="939" spans="1:20" ht="15.75">
      <c r="A939" s="13">
        <v>69732</v>
      </c>
      <c r="B939" s="48">
        <f t="shared" si="5"/>
        <v>30</v>
      </c>
      <c r="C939" s="39">
        <v>122.58</v>
      </c>
      <c r="D939" s="39">
        <v>297.94099999999997</v>
      </c>
      <c r="E939" s="45">
        <v>729.47900000000004</v>
      </c>
      <c r="F939" s="39">
        <v>1150</v>
      </c>
      <c r="G939" s="39">
        <v>100</v>
      </c>
      <c r="H939" s="47">
        <v>600</v>
      </c>
      <c r="I939" s="39">
        <v>695</v>
      </c>
      <c r="J939" s="39">
        <v>50</v>
      </c>
      <c r="K939" s="40"/>
      <c r="L939" s="40"/>
      <c r="M939" s="40"/>
      <c r="N939" s="40"/>
      <c r="O939" s="40"/>
      <c r="P939" s="40"/>
      <c r="Q939" s="40"/>
      <c r="R939" s="40"/>
      <c r="S939" s="40"/>
      <c r="T939" s="40"/>
    </row>
    <row r="940" spans="1:20" ht="15.75">
      <c r="A940" s="13">
        <v>69763</v>
      </c>
      <c r="B940" s="48">
        <f t="shared" si="5"/>
        <v>31</v>
      </c>
      <c r="C940" s="39">
        <v>122.58</v>
      </c>
      <c r="D940" s="39">
        <v>297.94099999999997</v>
      </c>
      <c r="E940" s="45">
        <v>729.47900000000004</v>
      </c>
      <c r="F940" s="39">
        <v>1150</v>
      </c>
      <c r="G940" s="39">
        <v>100</v>
      </c>
      <c r="H940" s="47">
        <v>600</v>
      </c>
      <c r="I940" s="39">
        <v>695</v>
      </c>
      <c r="J940" s="39">
        <v>50</v>
      </c>
      <c r="K940" s="40"/>
      <c r="L940" s="40"/>
      <c r="M940" s="40"/>
      <c r="N940" s="40"/>
      <c r="O940" s="40"/>
      <c r="P940" s="40"/>
      <c r="Q940" s="40"/>
      <c r="R940" s="40"/>
      <c r="S940" s="40"/>
      <c r="T940" s="40"/>
    </row>
    <row r="941" spans="1:20" ht="15.75">
      <c r="A941" s="13">
        <v>69794</v>
      </c>
      <c r="B941" s="48">
        <f t="shared" si="5"/>
        <v>31</v>
      </c>
      <c r="C941" s="39">
        <v>122.58</v>
      </c>
      <c r="D941" s="39">
        <v>297.94099999999997</v>
      </c>
      <c r="E941" s="45">
        <v>729.47900000000004</v>
      </c>
      <c r="F941" s="39">
        <v>1150</v>
      </c>
      <c r="G941" s="39">
        <v>100</v>
      </c>
      <c r="H941" s="47">
        <v>600</v>
      </c>
      <c r="I941" s="39">
        <v>695</v>
      </c>
      <c r="J941" s="39">
        <v>50</v>
      </c>
      <c r="K941" s="40"/>
      <c r="L941" s="40"/>
      <c r="M941" s="40"/>
      <c r="N941" s="40"/>
      <c r="O941" s="40"/>
      <c r="P941" s="40"/>
      <c r="Q941" s="40"/>
      <c r="R941" s="40"/>
      <c r="S941" s="40"/>
      <c r="T941" s="40"/>
    </row>
    <row r="942" spans="1:20" ht="15.75">
      <c r="A942" s="13">
        <v>69822</v>
      </c>
      <c r="B942" s="48">
        <f t="shared" si="5"/>
        <v>28</v>
      </c>
      <c r="C942" s="39">
        <v>122.58</v>
      </c>
      <c r="D942" s="39">
        <v>297.94099999999997</v>
      </c>
      <c r="E942" s="45">
        <v>729.47900000000004</v>
      </c>
      <c r="F942" s="39">
        <v>1150</v>
      </c>
      <c r="G942" s="39">
        <v>100</v>
      </c>
      <c r="H942" s="47">
        <v>600</v>
      </c>
      <c r="I942" s="39">
        <v>695</v>
      </c>
      <c r="J942" s="39">
        <v>50</v>
      </c>
      <c r="K942" s="40"/>
      <c r="L942" s="40"/>
      <c r="M942" s="40"/>
      <c r="N942" s="40"/>
      <c r="O942" s="40"/>
      <c r="P942" s="40"/>
      <c r="Q942" s="40"/>
      <c r="R942" s="40"/>
      <c r="S942" s="40"/>
      <c r="T942" s="40"/>
    </row>
    <row r="943" spans="1:20" ht="15.75">
      <c r="A943" s="13">
        <v>69853</v>
      </c>
      <c r="B943" s="48">
        <f t="shared" si="5"/>
        <v>31</v>
      </c>
      <c r="C943" s="39">
        <v>122.58</v>
      </c>
      <c r="D943" s="39">
        <v>297.94099999999997</v>
      </c>
      <c r="E943" s="45">
        <v>729.47900000000004</v>
      </c>
      <c r="F943" s="39">
        <v>1150</v>
      </c>
      <c r="G943" s="39">
        <v>100</v>
      </c>
      <c r="H943" s="47">
        <v>600</v>
      </c>
      <c r="I943" s="39">
        <v>695</v>
      </c>
      <c r="J943" s="39">
        <v>50</v>
      </c>
      <c r="K943" s="40"/>
      <c r="L943" s="40"/>
      <c r="M943" s="40"/>
      <c r="N943" s="40"/>
      <c r="O943" s="40"/>
      <c r="P943" s="40"/>
      <c r="Q943" s="40"/>
      <c r="R943" s="40"/>
      <c r="S943" s="40"/>
      <c r="T943" s="40"/>
    </row>
    <row r="944" spans="1:20" ht="15.75">
      <c r="A944" s="13">
        <v>69883</v>
      </c>
      <c r="B944" s="48">
        <f t="shared" si="5"/>
        <v>30</v>
      </c>
      <c r="C944" s="39">
        <v>141.29300000000001</v>
      </c>
      <c r="D944" s="39">
        <v>267.99299999999999</v>
      </c>
      <c r="E944" s="45">
        <v>829.71400000000006</v>
      </c>
      <c r="F944" s="39">
        <v>1239</v>
      </c>
      <c r="G944" s="39">
        <v>100</v>
      </c>
      <c r="H944" s="47">
        <v>600</v>
      </c>
      <c r="I944" s="39">
        <v>695</v>
      </c>
      <c r="J944" s="39">
        <v>50</v>
      </c>
      <c r="K944" s="40"/>
      <c r="L944" s="40"/>
      <c r="M944" s="40"/>
      <c r="N944" s="40"/>
      <c r="O944" s="40"/>
      <c r="P944" s="40"/>
      <c r="Q944" s="40"/>
      <c r="R944" s="40"/>
      <c r="S944" s="40"/>
      <c r="T944" s="40"/>
    </row>
    <row r="945" spans="1:20" ht="15.75">
      <c r="A945" s="13">
        <v>69914</v>
      </c>
      <c r="B945" s="48">
        <f t="shared" si="5"/>
        <v>31</v>
      </c>
      <c r="C945" s="39">
        <v>194.20500000000001</v>
      </c>
      <c r="D945" s="39">
        <v>267.46600000000001</v>
      </c>
      <c r="E945" s="45">
        <v>812.32899999999995</v>
      </c>
      <c r="F945" s="39">
        <v>1274</v>
      </c>
      <c r="G945" s="39">
        <v>75</v>
      </c>
      <c r="H945" s="47">
        <v>600</v>
      </c>
      <c r="I945" s="39">
        <v>695</v>
      </c>
      <c r="J945" s="39">
        <v>50</v>
      </c>
      <c r="K945" s="40"/>
      <c r="L945" s="40"/>
      <c r="M945" s="40"/>
      <c r="N945" s="40"/>
      <c r="O945" s="40"/>
      <c r="P945" s="40"/>
      <c r="Q945" s="40"/>
      <c r="R945" s="40"/>
      <c r="S945" s="40"/>
      <c r="T945" s="40"/>
    </row>
    <row r="946" spans="1:20" ht="15.75">
      <c r="A946" s="13">
        <v>69944</v>
      </c>
      <c r="B946" s="48">
        <f t="shared" si="5"/>
        <v>30</v>
      </c>
      <c r="C946" s="39">
        <v>194.20500000000001</v>
      </c>
      <c r="D946" s="39">
        <v>267.46600000000001</v>
      </c>
      <c r="E946" s="45">
        <v>812.32899999999995</v>
      </c>
      <c r="F946" s="39">
        <v>1274</v>
      </c>
      <c r="G946" s="39">
        <v>50</v>
      </c>
      <c r="H946" s="47">
        <v>600</v>
      </c>
      <c r="I946" s="39">
        <v>695</v>
      </c>
      <c r="J946" s="39">
        <v>50</v>
      </c>
      <c r="K946" s="40"/>
      <c r="L946" s="40"/>
      <c r="M946" s="40"/>
      <c r="N946" s="40"/>
      <c r="O946" s="40"/>
      <c r="P946" s="40"/>
      <c r="Q946" s="40"/>
      <c r="R946" s="40"/>
      <c r="S946" s="40"/>
      <c r="T946" s="40"/>
    </row>
    <row r="947" spans="1:20" ht="15.75">
      <c r="A947" s="13">
        <v>69975</v>
      </c>
      <c r="B947" s="48">
        <f t="shared" si="5"/>
        <v>31</v>
      </c>
      <c r="C947" s="39">
        <v>194.20500000000001</v>
      </c>
      <c r="D947" s="39">
        <v>267.46600000000001</v>
      </c>
      <c r="E947" s="45">
        <v>812.32899999999995</v>
      </c>
      <c r="F947" s="39">
        <v>1274</v>
      </c>
      <c r="G947" s="39">
        <v>50</v>
      </c>
      <c r="H947" s="47">
        <v>600</v>
      </c>
      <c r="I947" s="39">
        <v>695</v>
      </c>
      <c r="J947" s="39">
        <v>0</v>
      </c>
      <c r="K947" s="40"/>
      <c r="L947" s="40"/>
      <c r="M947" s="40"/>
      <c r="N947" s="40"/>
      <c r="O947" s="40"/>
      <c r="P947" s="40"/>
      <c r="Q947" s="40"/>
      <c r="R947" s="40"/>
      <c r="S947" s="40"/>
      <c r="T947" s="40"/>
    </row>
    <row r="948" spans="1:20" ht="15.75">
      <c r="A948" s="13">
        <v>70006</v>
      </c>
      <c r="B948" s="48">
        <f t="shared" si="5"/>
        <v>31</v>
      </c>
      <c r="C948" s="39">
        <v>194.20500000000001</v>
      </c>
      <c r="D948" s="39">
        <v>267.46600000000001</v>
      </c>
      <c r="E948" s="45">
        <v>812.32899999999995</v>
      </c>
      <c r="F948" s="39">
        <v>1274</v>
      </c>
      <c r="G948" s="39">
        <v>50</v>
      </c>
      <c r="H948" s="47">
        <v>600</v>
      </c>
      <c r="I948" s="39">
        <v>695</v>
      </c>
      <c r="J948" s="39">
        <v>0</v>
      </c>
      <c r="K948" s="40"/>
      <c r="L948" s="40"/>
      <c r="M948" s="40"/>
      <c r="N948" s="40"/>
      <c r="O948" s="40"/>
      <c r="P948" s="40"/>
      <c r="Q948" s="40"/>
      <c r="R948" s="40"/>
      <c r="S948" s="40"/>
      <c r="T948" s="40"/>
    </row>
    <row r="949" spans="1:20" ht="15.75">
      <c r="A949" s="13">
        <v>70036</v>
      </c>
      <c r="B949" s="48">
        <f t="shared" si="5"/>
        <v>30</v>
      </c>
      <c r="C949" s="39">
        <v>194.20500000000001</v>
      </c>
      <c r="D949" s="39">
        <v>267.46600000000001</v>
      </c>
      <c r="E949" s="45">
        <v>812.32899999999995</v>
      </c>
      <c r="F949" s="39">
        <v>1274</v>
      </c>
      <c r="G949" s="39">
        <v>50</v>
      </c>
      <c r="H949" s="47">
        <v>600</v>
      </c>
      <c r="I949" s="39">
        <v>695</v>
      </c>
      <c r="J949" s="39">
        <v>0</v>
      </c>
      <c r="K949" s="40"/>
      <c r="L949" s="40"/>
      <c r="M949" s="40"/>
      <c r="N949" s="40"/>
      <c r="O949" s="40"/>
      <c r="P949" s="40"/>
      <c r="Q949" s="40"/>
      <c r="R949" s="40"/>
      <c r="S949" s="40"/>
      <c r="T949" s="40"/>
    </row>
    <row r="950" spans="1:20" ht="15.75">
      <c r="A950" s="13">
        <v>70067</v>
      </c>
      <c r="B950" s="48">
        <f t="shared" si="5"/>
        <v>31</v>
      </c>
      <c r="C950" s="39">
        <v>131.881</v>
      </c>
      <c r="D950" s="39">
        <v>277.16699999999997</v>
      </c>
      <c r="E950" s="45">
        <v>829.952</v>
      </c>
      <c r="F950" s="39">
        <v>1239</v>
      </c>
      <c r="G950" s="39">
        <v>75</v>
      </c>
      <c r="H950" s="47">
        <v>600</v>
      </c>
      <c r="I950" s="39">
        <v>695</v>
      </c>
      <c r="J950" s="39">
        <v>0</v>
      </c>
      <c r="K950" s="40"/>
      <c r="L950" s="40"/>
      <c r="M950" s="40"/>
      <c r="N950" s="40"/>
      <c r="O950" s="40"/>
      <c r="P950" s="40"/>
      <c r="Q950" s="40"/>
      <c r="R950" s="40"/>
      <c r="S950" s="40"/>
      <c r="T950" s="40"/>
    </row>
    <row r="951" spans="1:20" ht="15.75">
      <c r="A951" s="13">
        <v>70097</v>
      </c>
      <c r="B951" s="48">
        <f t="shared" si="5"/>
        <v>30</v>
      </c>
      <c r="C951" s="39">
        <v>122.58</v>
      </c>
      <c r="D951" s="39">
        <v>297.94099999999997</v>
      </c>
      <c r="E951" s="45">
        <v>729.47900000000004</v>
      </c>
      <c r="F951" s="39">
        <v>1150</v>
      </c>
      <c r="G951" s="39">
        <v>100</v>
      </c>
      <c r="H951" s="47">
        <v>600</v>
      </c>
      <c r="I951" s="39">
        <v>695</v>
      </c>
      <c r="J951" s="39">
        <v>50</v>
      </c>
      <c r="K951" s="40"/>
      <c r="L951" s="40"/>
      <c r="M951" s="40"/>
      <c r="N951" s="40"/>
      <c r="O951" s="40"/>
      <c r="P951" s="40"/>
      <c r="Q951" s="40"/>
      <c r="R951" s="40"/>
      <c r="S951" s="40"/>
      <c r="T951" s="40"/>
    </row>
    <row r="952" spans="1:20" ht="15.75">
      <c r="A952" s="13">
        <v>70128</v>
      </c>
      <c r="B952" s="48">
        <f t="shared" si="5"/>
        <v>31</v>
      </c>
      <c r="C952" s="39">
        <v>122.58</v>
      </c>
      <c r="D952" s="39">
        <v>297.94099999999997</v>
      </c>
      <c r="E952" s="45">
        <v>729.47900000000004</v>
      </c>
      <c r="F952" s="39">
        <v>1150</v>
      </c>
      <c r="G952" s="39">
        <v>100</v>
      </c>
      <c r="H952" s="47">
        <v>600</v>
      </c>
      <c r="I952" s="39">
        <v>695</v>
      </c>
      <c r="J952" s="39">
        <v>50</v>
      </c>
      <c r="K952" s="40"/>
      <c r="L952" s="40"/>
      <c r="M952" s="40"/>
      <c r="N952" s="40"/>
      <c r="O952" s="40"/>
      <c r="P952" s="40"/>
      <c r="Q952" s="40"/>
      <c r="R952" s="40"/>
      <c r="S952" s="40"/>
      <c r="T952" s="40"/>
    </row>
    <row r="953" spans="1:20" ht="15.75">
      <c r="A953" s="13">
        <v>70159</v>
      </c>
      <c r="B953" s="48">
        <f t="shared" si="5"/>
        <v>31</v>
      </c>
      <c r="C953" s="39">
        <v>122.58</v>
      </c>
      <c r="D953" s="39">
        <v>297.94099999999997</v>
      </c>
      <c r="E953" s="45">
        <v>729.47900000000004</v>
      </c>
      <c r="F953" s="39">
        <v>1150</v>
      </c>
      <c r="G953" s="39">
        <v>100</v>
      </c>
      <c r="H953" s="47">
        <v>600</v>
      </c>
      <c r="I953" s="39">
        <v>695</v>
      </c>
      <c r="J953" s="39">
        <v>50</v>
      </c>
      <c r="K953" s="40"/>
      <c r="L953" s="40"/>
      <c r="M953" s="40"/>
      <c r="N953" s="40"/>
      <c r="O953" s="40"/>
      <c r="P953" s="40"/>
      <c r="Q953" s="40"/>
      <c r="R953" s="40"/>
      <c r="S953" s="40"/>
      <c r="T953" s="40"/>
    </row>
    <row r="954" spans="1:20" ht="15.75">
      <c r="A954" s="13">
        <v>70188</v>
      </c>
      <c r="B954" s="48">
        <f t="shared" si="5"/>
        <v>29</v>
      </c>
      <c r="C954" s="39">
        <v>122.58</v>
      </c>
      <c r="D954" s="39">
        <v>297.94099999999997</v>
      </c>
      <c r="E954" s="45">
        <v>729.47900000000004</v>
      </c>
      <c r="F954" s="39">
        <v>1150</v>
      </c>
      <c r="G954" s="39">
        <v>100</v>
      </c>
      <c r="H954" s="47">
        <v>600</v>
      </c>
      <c r="I954" s="39">
        <v>695</v>
      </c>
      <c r="J954" s="39">
        <v>50</v>
      </c>
      <c r="K954" s="40"/>
      <c r="L954" s="40"/>
      <c r="M954" s="40"/>
      <c r="N954" s="40"/>
      <c r="O954" s="40"/>
      <c r="P954" s="40"/>
      <c r="Q954" s="40"/>
      <c r="R954" s="40"/>
      <c r="S954" s="40"/>
      <c r="T954" s="40"/>
    </row>
    <row r="955" spans="1:20" ht="15.75">
      <c r="A955" s="13">
        <v>70219</v>
      </c>
      <c r="B955" s="48">
        <f t="shared" si="5"/>
        <v>31</v>
      </c>
      <c r="C955" s="39">
        <v>122.58</v>
      </c>
      <c r="D955" s="39">
        <v>297.94099999999997</v>
      </c>
      <c r="E955" s="45">
        <v>729.47900000000004</v>
      </c>
      <c r="F955" s="39">
        <v>1150</v>
      </c>
      <c r="G955" s="39">
        <v>100</v>
      </c>
      <c r="H955" s="47">
        <v>600</v>
      </c>
      <c r="I955" s="39">
        <v>695</v>
      </c>
      <c r="J955" s="39">
        <v>50</v>
      </c>
      <c r="K955" s="40"/>
      <c r="L955" s="40"/>
      <c r="M955" s="40"/>
      <c r="N955" s="40"/>
      <c r="O955" s="40"/>
      <c r="P955" s="40"/>
      <c r="Q955" s="40"/>
      <c r="R955" s="40"/>
      <c r="S955" s="40"/>
      <c r="T955" s="40"/>
    </row>
    <row r="956" spans="1:20" ht="15.75">
      <c r="A956" s="13">
        <v>70249</v>
      </c>
      <c r="B956" s="48">
        <f t="shared" si="5"/>
        <v>30</v>
      </c>
      <c r="C956" s="39">
        <v>141.29300000000001</v>
      </c>
      <c r="D956" s="39">
        <v>267.99299999999999</v>
      </c>
      <c r="E956" s="45">
        <v>829.71400000000006</v>
      </c>
      <c r="F956" s="39">
        <v>1239</v>
      </c>
      <c r="G956" s="39">
        <v>100</v>
      </c>
      <c r="H956" s="47">
        <v>600</v>
      </c>
      <c r="I956" s="39">
        <v>695</v>
      </c>
      <c r="J956" s="39">
        <v>50</v>
      </c>
      <c r="K956" s="40"/>
      <c r="L956" s="40"/>
      <c r="M956" s="40"/>
      <c r="N956" s="40"/>
      <c r="O956" s="40"/>
      <c r="P956" s="40"/>
      <c r="Q956" s="40"/>
      <c r="R956" s="40"/>
      <c r="S956" s="40"/>
      <c r="T956" s="40"/>
    </row>
    <row r="957" spans="1:20" ht="15.75">
      <c r="A957" s="13">
        <v>70280</v>
      </c>
      <c r="B957" s="48">
        <f t="shared" si="5"/>
        <v>31</v>
      </c>
      <c r="C957" s="39">
        <v>194.20500000000001</v>
      </c>
      <c r="D957" s="39">
        <v>267.46600000000001</v>
      </c>
      <c r="E957" s="45">
        <v>812.32899999999995</v>
      </c>
      <c r="F957" s="39">
        <v>1274</v>
      </c>
      <c r="G957" s="39">
        <v>75</v>
      </c>
      <c r="H957" s="47">
        <v>600</v>
      </c>
      <c r="I957" s="39">
        <v>695</v>
      </c>
      <c r="J957" s="39">
        <v>50</v>
      </c>
      <c r="K957" s="40"/>
      <c r="L957" s="40"/>
      <c r="M957" s="40"/>
      <c r="N957" s="40"/>
      <c r="O957" s="40"/>
      <c r="P957" s="40"/>
      <c r="Q957" s="40"/>
      <c r="R957" s="40"/>
      <c r="S957" s="40"/>
      <c r="T957" s="40"/>
    </row>
    <row r="958" spans="1:20" ht="15.75">
      <c r="A958" s="13">
        <v>70310</v>
      </c>
      <c r="B958" s="48">
        <f t="shared" si="5"/>
        <v>30</v>
      </c>
      <c r="C958" s="39">
        <v>194.20500000000001</v>
      </c>
      <c r="D958" s="39">
        <v>267.46600000000001</v>
      </c>
      <c r="E958" s="45">
        <v>812.32899999999995</v>
      </c>
      <c r="F958" s="39">
        <v>1274</v>
      </c>
      <c r="G958" s="39">
        <v>50</v>
      </c>
      <c r="H958" s="47">
        <v>600</v>
      </c>
      <c r="I958" s="39">
        <v>695</v>
      </c>
      <c r="J958" s="39">
        <v>50</v>
      </c>
      <c r="K958" s="40"/>
      <c r="L958" s="40"/>
      <c r="M958" s="40"/>
      <c r="N958" s="40"/>
      <c r="O958" s="40"/>
      <c r="P958" s="40"/>
      <c r="Q958" s="40"/>
      <c r="R958" s="40"/>
      <c r="S958" s="40"/>
      <c r="T958" s="40"/>
    </row>
    <row r="959" spans="1:20" ht="15.75">
      <c r="A959" s="13">
        <v>70341</v>
      </c>
      <c r="B959" s="48">
        <f t="shared" si="5"/>
        <v>31</v>
      </c>
      <c r="C959" s="39">
        <v>194.20500000000001</v>
      </c>
      <c r="D959" s="39">
        <v>267.46600000000001</v>
      </c>
      <c r="E959" s="45">
        <v>812.32899999999995</v>
      </c>
      <c r="F959" s="39">
        <v>1274</v>
      </c>
      <c r="G959" s="39">
        <v>50</v>
      </c>
      <c r="H959" s="47">
        <v>600</v>
      </c>
      <c r="I959" s="39">
        <v>695</v>
      </c>
      <c r="J959" s="39">
        <v>0</v>
      </c>
      <c r="K959" s="40"/>
      <c r="L959" s="40"/>
      <c r="M959" s="40"/>
      <c r="N959" s="40"/>
      <c r="O959" s="40"/>
      <c r="P959" s="40"/>
      <c r="Q959" s="40"/>
      <c r="R959" s="40"/>
      <c r="S959" s="40"/>
      <c r="T959" s="40"/>
    </row>
    <row r="960" spans="1:20" ht="15.75">
      <c r="A960" s="13">
        <v>70372</v>
      </c>
      <c r="B960" s="48">
        <f t="shared" si="5"/>
        <v>31</v>
      </c>
      <c r="C960" s="39">
        <v>194.20500000000001</v>
      </c>
      <c r="D960" s="39">
        <v>267.46600000000001</v>
      </c>
      <c r="E960" s="45">
        <v>812.32899999999995</v>
      </c>
      <c r="F960" s="39">
        <v>1274</v>
      </c>
      <c r="G960" s="39">
        <v>50</v>
      </c>
      <c r="H960" s="47">
        <v>600</v>
      </c>
      <c r="I960" s="39">
        <v>695</v>
      </c>
      <c r="J960" s="39">
        <v>0</v>
      </c>
      <c r="K960" s="40"/>
      <c r="L960" s="40"/>
      <c r="M960" s="40"/>
      <c r="N960" s="40"/>
      <c r="O960" s="40"/>
      <c r="P960" s="40"/>
      <c r="Q960" s="40"/>
      <c r="R960" s="40"/>
      <c r="S960" s="40"/>
      <c r="T960" s="40"/>
    </row>
    <row r="961" spans="1:20" ht="15.75">
      <c r="A961" s="13">
        <v>70402</v>
      </c>
      <c r="B961" s="48">
        <f t="shared" si="5"/>
        <v>30</v>
      </c>
      <c r="C961" s="39">
        <v>194.20500000000001</v>
      </c>
      <c r="D961" s="39">
        <v>267.46600000000001</v>
      </c>
      <c r="E961" s="45">
        <v>812.32899999999995</v>
      </c>
      <c r="F961" s="39">
        <v>1274</v>
      </c>
      <c r="G961" s="39">
        <v>50</v>
      </c>
      <c r="H961" s="47">
        <v>600</v>
      </c>
      <c r="I961" s="39">
        <v>695</v>
      </c>
      <c r="J961" s="39">
        <v>0</v>
      </c>
      <c r="K961" s="40"/>
      <c r="L961" s="40"/>
      <c r="M961" s="40"/>
      <c r="N961" s="40"/>
      <c r="O961" s="40"/>
      <c r="P961" s="40"/>
      <c r="Q961" s="40"/>
      <c r="R961" s="40"/>
      <c r="S961" s="40"/>
      <c r="T961" s="40"/>
    </row>
    <row r="962" spans="1:20" ht="15.75">
      <c r="A962" s="13">
        <v>70433</v>
      </c>
      <c r="B962" s="48">
        <f t="shared" si="5"/>
        <v>31</v>
      </c>
      <c r="C962" s="39">
        <v>131.881</v>
      </c>
      <c r="D962" s="39">
        <v>277.16699999999997</v>
      </c>
      <c r="E962" s="45">
        <v>829.952</v>
      </c>
      <c r="F962" s="39">
        <v>1239</v>
      </c>
      <c r="G962" s="39">
        <v>75</v>
      </c>
      <c r="H962" s="47">
        <v>600</v>
      </c>
      <c r="I962" s="39">
        <v>695</v>
      </c>
      <c r="J962" s="39">
        <v>0</v>
      </c>
      <c r="K962" s="40"/>
      <c r="L962" s="40"/>
      <c r="M962" s="40"/>
      <c r="N962" s="40"/>
      <c r="O962" s="40"/>
      <c r="P962" s="40"/>
      <c r="Q962" s="40"/>
      <c r="R962" s="40"/>
      <c r="S962" s="40"/>
      <c r="T962" s="40"/>
    </row>
    <row r="963" spans="1:20" ht="15.75">
      <c r="A963" s="13">
        <v>70463</v>
      </c>
      <c r="B963" s="48">
        <f t="shared" si="5"/>
        <v>30</v>
      </c>
      <c r="C963" s="39">
        <v>122.58</v>
      </c>
      <c r="D963" s="39">
        <v>297.94099999999997</v>
      </c>
      <c r="E963" s="45">
        <v>729.47900000000004</v>
      </c>
      <c r="F963" s="39">
        <v>1150</v>
      </c>
      <c r="G963" s="39">
        <v>100</v>
      </c>
      <c r="H963" s="47">
        <v>600</v>
      </c>
      <c r="I963" s="39">
        <v>695</v>
      </c>
      <c r="J963" s="39">
        <v>50</v>
      </c>
      <c r="K963" s="40"/>
      <c r="L963" s="40"/>
      <c r="M963" s="40"/>
      <c r="N963" s="40"/>
      <c r="O963" s="40"/>
      <c r="P963" s="40"/>
      <c r="Q963" s="40"/>
      <c r="R963" s="40"/>
      <c r="S963" s="40"/>
      <c r="T963" s="40"/>
    </row>
    <row r="964" spans="1:20" ht="15.75">
      <c r="A964" s="13">
        <v>70494</v>
      </c>
      <c r="B964" s="48">
        <f t="shared" si="5"/>
        <v>31</v>
      </c>
      <c r="C964" s="39">
        <v>122.58</v>
      </c>
      <c r="D964" s="39">
        <v>297.94099999999997</v>
      </c>
      <c r="E964" s="45">
        <v>729.47900000000004</v>
      </c>
      <c r="F964" s="39">
        <v>1150</v>
      </c>
      <c r="G964" s="39">
        <v>100</v>
      </c>
      <c r="H964" s="47">
        <v>600</v>
      </c>
      <c r="I964" s="39">
        <v>695</v>
      </c>
      <c r="J964" s="39">
        <v>50</v>
      </c>
      <c r="K964" s="40"/>
      <c r="L964" s="40"/>
      <c r="M964" s="40"/>
      <c r="N964" s="40"/>
      <c r="O964" s="40"/>
      <c r="P964" s="40"/>
      <c r="Q964" s="40"/>
      <c r="R964" s="40"/>
      <c r="S964" s="40"/>
      <c r="T964" s="40"/>
    </row>
    <row r="965" spans="1:20" ht="15.75">
      <c r="A965" s="13">
        <v>70525</v>
      </c>
      <c r="B965" s="48">
        <f t="shared" si="5"/>
        <v>31</v>
      </c>
      <c r="C965" s="39">
        <v>122.58</v>
      </c>
      <c r="D965" s="39">
        <v>297.94099999999997</v>
      </c>
      <c r="E965" s="45">
        <v>729.47900000000004</v>
      </c>
      <c r="F965" s="39">
        <v>1150</v>
      </c>
      <c r="G965" s="39">
        <v>100</v>
      </c>
      <c r="H965" s="47">
        <v>600</v>
      </c>
      <c r="I965" s="39">
        <v>695</v>
      </c>
      <c r="J965" s="39">
        <v>50</v>
      </c>
      <c r="K965" s="40"/>
      <c r="L965" s="40"/>
      <c r="M965" s="40"/>
      <c r="N965" s="40"/>
      <c r="O965" s="40"/>
      <c r="P965" s="40"/>
      <c r="Q965" s="40"/>
      <c r="R965" s="40"/>
      <c r="S965" s="40"/>
      <c r="T965" s="40"/>
    </row>
    <row r="966" spans="1:20" ht="15.75">
      <c r="A966" s="13">
        <v>70553</v>
      </c>
      <c r="B966" s="48">
        <f t="shared" si="5"/>
        <v>28</v>
      </c>
      <c r="C966" s="39">
        <v>122.58</v>
      </c>
      <c r="D966" s="39">
        <v>297.94099999999997</v>
      </c>
      <c r="E966" s="45">
        <v>729.47900000000004</v>
      </c>
      <c r="F966" s="39">
        <v>1150</v>
      </c>
      <c r="G966" s="39">
        <v>100</v>
      </c>
      <c r="H966" s="47">
        <v>600</v>
      </c>
      <c r="I966" s="39">
        <v>695</v>
      </c>
      <c r="J966" s="39">
        <v>50</v>
      </c>
      <c r="K966" s="40"/>
      <c r="L966" s="40"/>
      <c r="M966" s="40"/>
      <c r="N966" s="40"/>
      <c r="O966" s="40"/>
      <c r="P966" s="40"/>
      <c r="Q966" s="40"/>
      <c r="R966" s="40"/>
      <c r="S966" s="40"/>
      <c r="T966" s="40"/>
    </row>
    <row r="967" spans="1:20" ht="15.75">
      <c r="A967" s="13">
        <v>70584</v>
      </c>
      <c r="B967" s="48">
        <f t="shared" si="5"/>
        <v>31</v>
      </c>
      <c r="C967" s="39">
        <v>122.58</v>
      </c>
      <c r="D967" s="39">
        <v>297.94099999999997</v>
      </c>
      <c r="E967" s="45">
        <v>729.47900000000004</v>
      </c>
      <c r="F967" s="39">
        <v>1150</v>
      </c>
      <c r="G967" s="39">
        <v>100</v>
      </c>
      <c r="H967" s="47">
        <v>600</v>
      </c>
      <c r="I967" s="39">
        <v>695</v>
      </c>
      <c r="J967" s="39">
        <v>50</v>
      </c>
      <c r="K967" s="40"/>
      <c r="L967" s="40"/>
      <c r="M967" s="40"/>
      <c r="N967" s="40"/>
      <c r="O967" s="40"/>
      <c r="P967" s="40"/>
      <c r="Q967" s="40"/>
      <c r="R967" s="40"/>
      <c r="S967" s="40"/>
      <c r="T967" s="40"/>
    </row>
    <row r="968" spans="1:20" ht="15.75">
      <c r="A968" s="13">
        <v>70614</v>
      </c>
      <c r="B968" s="48">
        <f t="shared" si="5"/>
        <v>30</v>
      </c>
      <c r="C968" s="39">
        <v>141.29300000000001</v>
      </c>
      <c r="D968" s="39">
        <v>267.99299999999999</v>
      </c>
      <c r="E968" s="45">
        <v>829.71400000000006</v>
      </c>
      <c r="F968" s="39">
        <v>1239</v>
      </c>
      <c r="G968" s="39">
        <v>100</v>
      </c>
      <c r="H968" s="47">
        <v>600</v>
      </c>
      <c r="I968" s="39">
        <v>695</v>
      </c>
      <c r="J968" s="39">
        <v>50</v>
      </c>
      <c r="K968" s="40"/>
      <c r="L968" s="40"/>
      <c r="M968" s="40"/>
      <c r="N968" s="40"/>
      <c r="O968" s="40"/>
      <c r="P968" s="40"/>
      <c r="Q968" s="40"/>
      <c r="R968" s="40"/>
      <c r="S968" s="40"/>
      <c r="T968" s="40"/>
    </row>
    <row r="969" spans="1:20" ht="15.75">
      <c r="A969" s="13">
        <v>70645</v>
      </c>
      <c r="B969" s="48">
        <f t="shared" si="5"/>
        <v>31</v>
      </c>
      <c r="C969" s="39">
        <v>194.20500000000001</v>
      </c>
      <c r="D969" s="39">
        <v>267.46600000000001</v>
      </c>
      <c r="E969" s="45">
        <v>812.32899999999995</v>
      </c>
      <c r="F969" s="39">
        <v>1274</v>
      </c>
      <c r="G969" s="39">
        <v>75</v>
      </c>
      <c r="H969" s="47">
        <v>600</v>
      </c>
      <c r="I969" s="39">
        <v>695</v>
      </c>
      <c r="J969" s="39">
        <v>50</v>
      </c>
      <c r="K969" s="40"/>
      <c r="L969" s="40"/>
      <c r="M969" s="40"/>
      <c r="N969" s="40"/>
      <c r="O969" s="40"/>
      <c r="P969" s="40"/>
      <c r="Q969" s="40"/>
      <c r="R969" s="40"/>
      <c r="S969" s="40"/>
      <c r="T969" s="40"/>
    </row>
    <row r="970" spans="1:20" ht="15.75">
      <c r="A970" s="13">
        <v>70675</v>
      </c>
      <c r="B970" s="48">
        <f t="shared" si="5"/>
        <v>30</v>
      </c>
      <c r="C970" s="39">
        <v>194.20500000000001</v>
      </c>
      <c r="D970" s="39">
        <v>267.46600000000001</v>
      </c>
      <c r="E970" s="45">
        <v>812.32899999999995</v>
      </c>
      <c r="F970" s="39">
        <v>1274</v>
      </c>
      <c r="G970" s="39">
        <v>50</v>
      </c>
      <c r="H970" s="47">
        <v>600</v>
      </c>
      <c r="I970" s="39">
        <v>695</v>
      </c>
      <c r="J970" s="39">
        <v>50</v>
      </c>
      <c r="K970" s="40"/>
      <c r="L970" s="40"/>
      <c r="M970" s="40"/>
      <c r="N970" s="40"/>
      <c r="O970" s="40"/>
      <c r="P970" s="40"/>
      <c r="Q970" s="40"/>
      <c r="R970" s="40"/>
      <c r="S970" s="40"/>
      <c r="T970" s="40"/>
    </row>
    <row r="971" spans="1:20" ht="15.75">
      <c r="A971" s="13">
        <v>70706</v>
      </c>
      <c r="B971" s="48">
        <f t="shared" si="5"/>
        <v>31</v>
      </c>
      <c r="C971" s="39">
        <v>194.20500000000001</v>
      </c>
      <c r="D971" s="39">
        <v>267.46600000000001</v>
      </c>
      <c r="E971" s="45">
        <v>812.32899999999995</v>
      </c>
      <c r="F971" s="39">
        <v>1274</v>
      </c>
      <c r="G971" s="39">
        <v>50</v>
      </c>
      <c r="H971" s="47">
        <v>600</v>
      </c>
      <c r="I971" s="39">
        <v>695</v>
      </c>
      <c r="J971" s="39">
        <v>0</v>
      </c>
      <c r="K971" s="40"/>
      <c r="L971" s="40"/>
      <c r="M971" s="40"/>
      <c r="N971" s="40"/>
      <c r="O971" s="40"/>
      <c r="P971" s="40"/>
      <c r="Q971" s="40"/>
      <c r="R971" s="40"/>
      <c r="S971" s="40"/>
      <c r="T971" s="40"/>
    </row>
    <row r="972" spans="1:20" ht="15.75">
      <c r="A972" s="13">
        <v>70737</v>
      </c>
      <c r="B972" s="48">
        <f t="shared" si="5"/>
        <v>31</v>
      </c>
      <c r="C972" s="39">
        <v>194.20500000000001</v>
      </c>
      <c r="D972" s="39">
        <v>267.46600000000001</v>
      </c>
      <c r="E972" s="45">
        <v>812.32899999999995</v>
      </c>
      <c r="F972" s="39">
        <v>1274</v>
      </c>
      <c r="G972" s="39">
        <v>50</v>
      </c>
      <c r="H972" s="47">
        <v>600</v>
      </c>
      <c r="I972" s="39">
        <v>695</v>
      </c>
      <c r="J972" s="39">
        <v>0</v>
      </c>
      <c r="K972" s="40"/>
      <c r="L972" s="40"/>
      <c r="M972" s="40"/>
      <c r="N972" s="40"/>
      <c r="O972" s="40"/>
      <c r="P972" s="40"/>
      <c r="Q972" s="40"/>
      <c r="R972" s="40"/>
      <c r="S972" s="40"/>
      <c r="T972" s="40"/>
    </row>
    <row r="973" spans="1:20" ht="15.75">
      <c r="A973" s="13">
        <v>70767</v>
      </c>
      <c r="B973" s="48">
        <f t="shared" si="5"/>
        <v>30</v>
      </c>
      <c r="C973" s="39">
        <v>194.20500000000001</v>
      </c>
      <c r="D973" s="39">
        <v>267.46600000000001</v>
      </c>
      <c r="E973" s="45">
        <v>812.32899999999995</v>
      </c>
      <c r="F973" s="39">
        <v>1274</v>
      </c>
      <c r="G973" s="39">
        <v>50</v>
      </c>
      <c r="H973" s="47">
        <v>600</v>
      </c>
      <c r="I973" s="39">
        <v>695</v>
      </c>
      <c r="J973" s="39">
        <v>0</v>
      </c>
      <c r="K973" s="40"/>
      <c r="L973" s="40"/>
      <c r="M973" s="40"/>
      <c r="N973" s="40"/>
      <c r="O973" s="40"/>
      <c r="P973" s="40"/>
      <c r="Q973" s="40"/>
      <c r="R973" s="40"/>
      <c r="S973" s="40"/>
      <c r="T973" s="40"/>
    </row>
    <row r="974" spans="1:20" ht="15.75">
      <c r="A974" s="13">
        <v>70798</v>
      </c>
      <c r="B974" s="48">
        <f t="shared" si="5"/>
        <v>31</v>
      </c>
      <c r="C974" s="39">
        <v>131.881</v>
      </c>
      <c r="D974" s="39">
        <v>277.16699999999997</v>
      </c>
      <c r="E974" s="45">
        <v>829.952</v>
      </c>
      <c r="F974" s="39">
        <v>1239</v>
      </c>
      <c r="G974" s="39">
        <v>75</v>
      </c>
      <c r="H974" s="47">
        <v>600</v>
      </c>
      <c r="I974" s="39">
        <v>695</v>
      </c>
      <c r="J974" s="39">
        <v>0</v>
      </c>
      <c r="K974" s="40"/>
      <c r="L974" s="40"/>
      <c r="M974" s="40"/>
      <c r="N974" s="40"/>
      <c r="O974" s="40"/>
      <c r="P974" s="40"/>
      <c r="Q974" s="40"/>
      <c r="R974" s="40"/>
      <c r="S974" s="40"/>
      <c r="T974" s="40"/>
    </row>
    <row r="975" spans="1:20" ht="15.75">
      <c r="A975" s="13">
        <v>70828</v>
      </c>
      <c r="B975" s="48">
        <f t="shared" si="5"/>
        <v>30</v>
      </c>
      <c r="C975" s="39">
        <v>122.58</v>
      </c>
      <c r="D975" s="39">
        <v>297.94099999999997</v>
      </c>
      <c r="E975" s="45">
        <v>729.47900000000004</v>
      </c>
      <c r="F975" s="39">
        <v>1150</v>
      </c>
      <c r="G975" s="39">
        <v>100</v>
      </c>
      <c r="H975" s="47">
        <v>600</v>
      </c>
      <c r="I975" s="39">
        <v>695</v>
      </c>
      <c r="J975" s="39">
        <v>50</v>
      </c>
      <c r="K975" s="40"/>
      <c r="L975" s="40"/>
      <c r="M975" s="40"/>
      <c r="N975" s="40"/>
      <c r="O975" s="40"/>
      <c r="P975" s="40"/>
      <c r="Q975" s="40"/>
      <c r="R975" s="40"/>
      <c r="S975" s="40"/>
      <c r="T975" s="40"/>
    </row>
    <row r="976" spans="1:20" ht="15.75">
      <c r="A976" s="13">
        <v>70859</v>
      </c>
      <c r="B976" s="48">
        <f t="shared" si="5"/>
        <v>31</v>
      </c>
      <c r="C976" s="39">
        <v>122.58</v>
      </c>
      <c r="D976" s="39">
        <v>297.94099999999997</v>
      </c>
      <c r="E976" s="45">
        <v>729.47900000000004</v>
      </c>
      <c r="F976" s="39">
        <v>1150</v>
      </c>
      <c r="G976" s="39">
        <v>100</v>
      </c>
      <c r="H976" s="47">
        <v>600</v>
      </c>
      <c r="I976" s="39">
        <v>695</v>
      </c>
      <c r="J976" s="39">
        <v>50</v>
      </c>
      <c r="K976" s="40"/>
      <c r="L976" s="40"/>
      <c r="M976" s="40"/>
      <c r="N976" s="40"/>
      <c r="O976" s="40"/>
      <c r="P976" s="40"/>
      <c r="Q976" s="40"/>
      <c r="R976" s="40"/>
      <c r="S976" s="40"/>
      <c r="T976" s="40"/>
    </row>
    <row r="977" spans="1:20" ht="15.75">
      <c r="A977" s="13">
        <v>70890</v>
      </c>
      <c r="B977" s="48">
        <f t="shared" ref="B977:B1040" si="6">EOMONTH(A977,0)-EOMONTH(A977,-1)</f>
        <v>31</v>
      </c>
      <c r="C977" s="39">
        <v>122.58</v>
      </c>
      <c r="D977" s="39">
        <v>297.94099999999997</v>
      </c>
      <c r="E977" s="45">
        <v>729.47900000000004</v>
      </c>
      <c r="F977" s="39">
        <v>1150</v>
      </c>
      <c r="G977" s="39">
        <v>100</v>
      </c>
      <c r="H977" s="47">
        <v>600</v>
      </c>
      <c r="I977" s="39">
        <v>695</v>
      </c>
      <c r="J977" s="39">
        <v>50</v>
      </c>
      <c r="K977" s="40"/>
      <c r="L977" s="40"/>
      <c r="M977" s="40"/>
      <c r="N977" s="40"/>
      <c r="O977" s="40"/>
      <c r="P977" s="40"/>
      <c r="Q977" s="40"/>
      <c r="R977" s="40"/>
      <c r="S977" s="40"/>
      <c r="T977" s="40"/>
    </row>
    <row r="978" spans="1:20" ht="15.75">
      <c r="A978" s="13">
        <v>70918</v>
      </c>
      <c r="B978" s="48">
        <f t="shared" si="6"/>
        <v>28</v>
      </c>
      <c r="C978" s="39">
        <v>122.58</v>
      </c>
      <c r="D978" s="39">
        <v>297.94099999999997</v>
      </c>
      <c r="E978" s="45">
        <v>729.47900000000004</v>
      </c>
      <c r="F978" s="39">
        <v>1150</v>
      </c>
      <c r="G978" s="39">
        <v>100</v>
      </c>
      <c r="H978" s="47">
        <v>600</v>
      </c>
      <c r="I978" s="39">
        <v>695</v>
      </c>
      <c r="J978" s="39">
        <v>50</v>
      </c>
      <c r="K978" s="40"/>
      <c r="L978" s="40"/>
      <c r="M978" s="40"/>
      <c r="N978" s="40"/>
      <c r="O978" s="40"/>
      <c r="P978" s="40"/>
      <c r="Q978" s="40"/>
      <c r="R978" s="40"/>
      <c r="S978" s="40"/>
      <c r="T978" s="40"/>
    </row>
    <row r="979" spans="1:20" ht="15.75">
      <c r="A979" s="13">
        <v>70949</v>
      </c>
      <c r="B979" s="48">
        <f t="shared" si="6"/>
        <v>31</v>
      </c>
      <c r="C979" s="39">
        <v>122.58</v>
      </c>
      <c r="D979" s="39">
        <v>297.94099999999997</v>
      </c>
      <c r="E979" s="45">
        <v>729.47900000000004</v>
      </c>
      <c r="F979" s="39">
        <v>1150</v>
      </c>
      <c r="G979" s="39">
        <v>100</v>
      </c>
      <c r="H979" s="47">
        <v>600</v>
      </c>
      <c r="I979" s="39">
        <v>695</v>
      </c>
      <c r="J979" s="39">
        <v>50</v>
      </c>
      <c r="K979" s="40"/>
      <c r="L979" s="40"/>
      <c r="M979" s="40"/>
      <c r="N979" s="40"/>
      <c r="O979" s="40"/>
      <c r="P979" s="40"/>
      <c r="Q979" s="40"/>
      <c r="R979" s="40"/>
      <c r="S979" s="40"/>
      <c r="T979" s="40"/>
    </row>
    <row r="980" spans="1:20" ht="15.75">
      <c r="A980" s="13">
        <v>70979</v>
      </c>
      <c r="B980" s="48">
        <f t="shared" si="6"/>
        <v>30</v>
      </c>
      <c r="C980" s="39">
        <v>141.29300000000001</v>
      </c>
      <c r="D980" s="39">
        <v>267.99299999999999</v>
      </c>
      <c r="E980" s="45">
        <v>829.71400000000006</v>
      </c>
      <c r="F980" s="39">
        <v>1239</v>
      </c>
      <c r="G980" s="39">
        <v>100</v>
      </c>
      <c r="H980" s="47">
        <v>600</v>
      </c>
      <c r="I980" s="39">
        <v>695</v>
      </c>
      <c r="J980" s="39">
        <v>50</v>
      </c>
      <c r="K980" s="40"/>
      <c r="L980" s="40"/>
      <c r="M980" s="40"/>
      <c r="N980" s="40"/>
      <c r="O980" s="40"/>
      <c r="P980" s="40"/>
      <c r="Q980" s="40"/>
      <c r="R980" s="40"/>
      <c r="S980" s="40"/>
      <c r="T980" s="40"/>
    </row>
    <row r="981" spans="1:20" ht="15.75">
      <c r="A981" s="13">
        <v>71010</v>
      </c>
      <c r="B981" s="48">
        <f t="shared" si="6"/>
        <v>31</v>
      </c>
      <c r="C981" s="39">
        <v>194.20500000000001</v>
      </c>
      <c r="D981" s="39">
        <v>267.46600000000001</v>
      </c>
      <c r="E981" s="45">
        <v>812.32899999999995</v>
      </c>
      <c r="F981" s="39">
        <v>1274</v>
      </c>
      <c r="G981" s="39">
        <v>75</v>
      </c>
      <c r="H981" s="47">
        <v>600</v>
      </c>
      <c r="I981" s="39">
        <v>695</v>
      </c>
      <c r="J981" s="39">
        <v>50</v>
      </c>
      <c r="K981" s="40"/>
      <c r="L981" s="40"/>
      <c r="M981" s="40"/>
      <c r="N981" s="40"/>
      <c r="O981" s="40"/>
      <c r="P981" s="40"/>
      <c r="Q981" s="40"/>
      <c r="R981" s="40"/>
      <c r="S981" s="40"/>
      <c r="T981" s="40"/>
    </row>
    <row r="982" spans="1:20" ht="15.75">
      <c r="A982" s="13">
        <v>71040</v>
      </c>
      <c r="B982" s="48">
        <f t="shared" si="6"/>
        <v>30</v>
      </c>
      <c r="C982" s="39">
        <v>194.20500000000001</v>
      </c>
      <c r="D982" s="39">
        <v>267.46600000000001</v>
      </c>
      <c r="E982" s="45">
        <v>812.32899999999995</v>
      </c>
      <c r="F982" s="39">
        <v>1274</v>
      </c>
      <c r="G982" s="39">
        <v>50</v>
      </c>
      <c r="H982" s="47">
        <v>600</v>
      </c>
      <c r="I982" s="39">
        <v>695</v>
      </c>
      <c r="J982" s="39">
        <v>50</v>
      </c>
      <c r="K982" s="40"/>
      <c r="L982" s="40"/>
      <c r="M982" s="40"/>
      <c r="N982" s="40"/>
      <c r="O982" s="40"/>
      <c r="P982" s="40"/>
      <c r="Q982" s="40"/>
      <c r="R982" s="40"/>
      <c r="S982" s="40"/>
      <c r="T982" s="40"/>
    </row>
    <row r="983" spans="1:20" ht="15.75">
      <c r="A983" s="13">
        <v>71071</v>
      </c>
      <c r="B983" s="48">
        <f t="shared" si="6"/>
        <v>31</v>
      </c>
      <c r="C983" s="39">
        <v>194.20500000000001</v>
      </c>
      <c r="D983" s="39">
        <v>267.46600000000001</v>
      </c>
      <c r="E983" s="45">
        <v>812.32899999999995</v>
      </c>
      <c r="F983" s="39">
        <v>1274</v>
      </c>
      <c r="G983" s="39">
        <v>50</v>
      </c>
      <c r="H983" s="47">
        <v>600</v>
      </c>
      <c r="I983" s="39">
        <v>695</v>
      </c>
      <c r="J983" s="39">
        <v>0</v>
      </c>
      <c r="K983" s="40"/>
      <c r="L983" s="40"/>
      <c r="M983" s="40"/>
      <c r="N983" s="40"/>
      <c r="O983" s="40"/>
      <c r="P983" s="40"/>
      <c r="Q983" s="40"/>
      <c r="R983" s="40"/>
      <c r="S983" s="40"/>
      <c r="T983" s="40"/>
    </row>
    <row r="984" spans="1:20" ht="15.75">
      <c r="A984" s="13">
        <v>71102</v>
      </c>
      <c r="B984" s="48">
        <f t="shared" si="6"/>
        <v>31</v>
      </c>
      <c r="C984" s="39">
        <v>194.20500000000001</v>
      </c>
      <c r="D984" s="39">
        <v>267.46600000000001</v>
      </c>
      <c r="E984" s="45">
        <v>812.32899999999995</v>
      </c>
      <c r="F984" s="39">
        <v>1274</v>
      </c>
      <c r="G984" s="39">
        <v>50</v>
      </c>
      <c r="H984" s="47">
        <v>600</v>
      </c>
      <c r="I984" s="39">
        <v>695</v>
      </c>
      <c r="J984" s="39">
        <v>0</v>
      </c>
      <c r="K984" s="40"/>
      <c r="L984" s="40"/>
      <c r="M984" s="40"/>
      <c r="N984" s="40"/>
      <c r="O984" s="40"/>
      <c r="P984" s="40"/>
      <c r="Q984" s="40"/>
      <c r="R984" s="40"/>
      <c r="S984" s="40"/>
      <c r="T984" s="40"/>
    </row>
    <row r="985" spans="1:20" ht="15.75">
      <c r="A985" s="13">
        <v>71132</v>
      </c>
      <c r="B985" s="48">
        <f t="shared" si="6"/>
        <v>30</v>
      </c>
      <c r="C985" s="39">
        <v>194.20500000000001</v>
      </c>
      <c r="D985" s="39">
        <v>267.46600000000001</v>
      </c>
      <c r="E985" s="45">
        <v>812.32899999999995</v>
      </c>
      <c r="F985" s="39">
        <v>1274</v>
      </c>
      <c r="G985" s="39">
        <v>50</v>
      </c>
      <c r="H985" s="47">
        <v>600</v>
      </c>
      <c r="I985" s="39">
        <v>695</v>
      </c>
      <c r="J985" s="39">
        <v>0</v>
      </c>
      <c r="K985" s="40"/>
      <c r="L985" s="40"/>
      <c r="M985" s="40"/>
      <c r="N985" s="40"/>
      <c r="O985" s="40"/>
      <c r="P985" s="40"/>
      <c r="Q985" s="40"/>
      <c r="R985" s="40"/>
      <c r="S985" s="40"/>
      <c r="T985" s="40"/>
    </row>
    <row r="986" spans="1:20" ht="15.75">
      <c r="A986" s="13">
        <v>71163</v>
      </c>
      <c r="B986" s="48">
        <f t="shared" si="6"/>
        <v>31</v>
      </c>
      <c r="C986" s="39">
        <v>131.881</v>
      </c>
      <c r="D986" s="39">
        <v>277.16699999999997</v>
      </c>
      <c r="E986" s="45">
        <v>829.952</v>
      </c>
      <c r="F986" s="39">
        <v>1239</v>
      </c>
      <c r="G986" s="39">
        <v>75</v>
      </c>
      <c r="H986" s="47">
        <v>600</v>
      </c>
      <c r="I986" s="39">
        <v>695</v>
      </c>
      <c r="J986" s="39">
        <v>0</v>
      </c>
      <c r="K986" s="40"/>
      <c r="L986" s="40"/>
      <c r="M986" s="40"/>
      <c r="N986" s="40"/>
      <c r="O986" s="40"/>
      <c r="P986" s="40"/>
      <c r="Q986" s="40"/>
      <c r="R986" s="40"/>
      <c r="S986" s="40"/>
      <c r="T986" s="40"/>
    </row>
    <row r="987" spans="1:20" ht="15.75">
      <c r="A987" s="13">
        <v>71193</v>
      </c>
      <c r="B987" s="48">
        <f t="shared" si="6"/>
        <v>30</v>
      </c>
      <c r="C987" s="39">
        <v>122.58</v>
      </c>
      <c r="D987" s="39">
        <v>297.94099999999997</v>
      </c>
      <c r="E987" s="45">
        <v>729.47900000000004</v>
      </c>
      <c r="F987" s="39">
        <v>1150</v>
      </c>
      <c r="G987" s="39">
        <v>100</v>
      </c>
      <c r="H987" s="47">
        <v>600</v>
      </c>
      <c r="I987" s="39">
        <v>695</v>
      </c>
      <c r="J987" s="39">
        <v>50</v>
      </c>
      <c r="K987" s="40"/>
      <c r="L987" s="40"/>
      <c r="M987" s="40"/>
      <c r="N987" s="40"/>
      <c r="O987" s="40"/>
      <c r="P987" s="40"/>
      <c r="Q987" s="40"/>
      <c r="R987" s="40"/>
      <c r="S987" s="40"/>
      <c r="T987" s="40"/>
    </row>
    <row r="988" spans="1:20" ht="15.75">
      <c r="A988" s="13">
        <v>71224</v>
      </c>
      <c r="B988" s="48">
        <f t="shared" si="6"/>
        <v>31</v>
      </c>
      <c r="C988" s="39">
        <v>122.58</v>
      </c>
      <c r="D988" s="39">
        <v>297.94099999999997</v>
      </c>
      <c r="E988" s="45">
        <v>729.47900000000004</v>
      </c>
      <c r="F988" s="39">
        <v>1150</v>
      </c>
      <c r="G988" s="39">
        <v>100</v>
      </c>
      <c r="H988" s="47">
        <v>600</v>
      </c>
      <c r="I988" s="39">
        <v>695</v>
      </c>
      <c r="J988" s="39">
        <v>50</v>
      </c>
      <c r="K988" s="40"/>
      <c r="L988" s="40"/>
      <c r="M988" s="40"/>
      <c r="N988" s="40"/>
      <c r="O988" s="40"/>
      <c r="P988" s="40"/>
      <c r="Q988" s="40"/>
      <c r="R988" s="40"/>
      <c r="S988" s="40"/>
      <c r="T988" s="40"/>
    </row>
    <row r="989" spans="1:20" ht="15.75">
      <c r="A989" s="13">
        <v>71255</v>
      </c>
      <c r="B989" s="48">
        <f t="shared" si="6"/>
        <v>31</v>
      </c>
      <c r="C989" s="39">
        <v>122.58</v>
      </c>
      <c r="D989" s="39">
        <v>297.94099999999997</v>
      </c>
      <c r="E989" s="45">
        <v>729.47900000000004</v>
      </c>
      <c r="F989" s="39">
        <v>1150</v>
      </c>
      <c r="G989" s="39">
        <v>100</v>
      </c>
      <c r="H989" s="47">
        <v>600</v>
      </c>
      <c r="I989" s="39">
        <v>695</v>
      </c>
      <c r="J989" s="39">
        <v>50</v>
      </c>
      <c r="K989" s="40"/>
      <c r="L989" s="40"/>
      <c r="M989" s="40"/>
      <c r="N989" s="40"/>
      <c r="O989" s="40"/>
      <c r="P989" s="40"/>
      <c r="Q989" s="40"/>
      <c r="R989" s="40"/>
      <c r="S989" s="40"/>
      <c r="T989" s="40"/>
    </row>
    <row r="990" spans="1:20" ht="15.75">
      <c r="A990" s="13">
        <v>71283</v>
      </c>
      <c r="B990" s="48">
        <f t="shared" si="6"/>
        <v>28</v>
      </c>
      <c r="C990" s="39">
        <v>122.58</v>
      </c>
      <c r="D990" s="39">
        <v>297.94099999999997</v>
      </c>
      <c r="E990" s="45">
        <v>729.47900000000004</v>
      </c>
      <c r="F990" s="39">
        <v>1150</v>
      </c>
      <c r="G990" s="39">
        <v>100</v>
      </c>
      <c r="H990" s="47">
        <v>600</v>
      </c>
      <c r="I990" s="39">
        <v>695</v>
      </c>
      <c r="J990" s="39">
        <v>50</v>
      </c>
      <c r="K990" s="40"/>
      <c r="L990" s="40"/>
      <c r="M990" s="40"/>
      <c r="N990" s="40"/>
      <c r="O990" s="40"/>
      <c r="P990" s="40"/>
      <c r="Q990" s="40"/>
      <c r="R990" s="40"/>
      <c r="S990" s="40"/>
      <c r="T990" s="40"/>
    </row>
    <row r="991" spans="1:20" ht="15.75">
      <c r="A991" s="13">
        <v>71314</v>
      </c>
      <c r="B991" s="48">
        <f t="shared" si="6"/>
        <v>31</v>
      </c>
      <c r="C991" s="39">
        <v>122.58</v>
      </c>
      <c r="D991" s="39">
        <v>297.94099999999997</v>
      </c>
      <c r="E991" s="45">
        <v>729.47900000000004</v>
      </c>
      <c r="F991" s="39">
        <v>1150</v>
      </c>
      <c r="G991" s="39">
        <v>100</v>
      </c>
      <c r="H991" s="47">
        <v>600</v>
      </c>
      <c r="I991" s="39">
        <v>695</v>
      </c>
      <c r="J991" s="39">
        <v>50</v>
      </c>
      <c r="K991" s="40"/>
      <c r="L991" s="40"/>
      <c r="M991" s="40"/>
      <c r="N991" s="40"/>
      <c r="O991" s="40"/>
      <c r="P991" s="40"/>
      <c r="Q991" s="40"/>
      <c r="R991" s="40"/>
      <c r="S991" s="40"/>
      <c r="T991" s="40"/>
    </row>
    <row r="992" spans="1:20" ht="15.75">
      <c r="A992" s="13">
        <v>71344</v>
      </c>
      <c r="B992" s="48">
        <f t="shared" si="6"/>
        <v>30</v>
      </c>
      <c r="C992" s="39">
        <v>141.29300000000001</v>
      </c>
      <c r="D992" s="39">
        <v>267.99299999999999</v>
      </c>
      <c r="E992" s="45">
        <v>829.71400000000006</v>
      </c>
      <c r="F992" s="39">
        <v>1239</v>
      </c>
      <c r="G992" s="39">
        <v>100</v>
      </c>
      <c r="H992" s="47">
        <v>600</v>
      </c>
      <c r="I992" s="39">
        <v>695</v>
      </c>
      <c r="J992" s="39">
        <v>50</v>
      </c>
      <c r="K992" s="40"/>
      <c r="L992" s="40"/>
      <c r="M992" s="40"/>
      <c r="N992" s="40"/>
      <c r="O992" s="40"/>
      <c r="P992" s="40"/>
      <c r="Q992" s="40"/>
      <c r="R992" s="40"/>
      <c r="S992" s="40"/>
      <c r="T992" s="40"/>
    </row>
    <row r="993" spans="1:20" ht="15.75">
      <c r="A993" s="13">
        <v>71375</v>
      </c>
      <c r="B993" s="48">
        <f t="shared" si="6"/>
        <v>31</v>
      </c>
      <c r="C993" s="39">
        <v>194.20500000000001</v>
      </c>
      <c r="D993" s="39">
        <v>267.46600000000001</v>
      </c>
      <c r="E993" s="45">
        <v>812.32899999999995</v>
      </c>
      <c r="F993" s="39">
        <v>1274</v>
      </c>
      <c r="G993" s="39">
        <v>75</v>
      </c>
      <c r="H993" s="47">
        <v>600</v>
      </c>
      <c r="I993" s="39">
        <v>695</v>
      </c>
      <c r="J993" s="39">
        <v>50</v>
      </c>
      <c r="K993" s="40"/>
      <c r="L993" s="40"/>
      <c r="M993" s="40"/>
      <c r="N993" s="40"/>
      <c r="O993" s="40"/>
      <c r="P993" s="40"/>
      <c r="Q993" s="40"/>
      <c r="R993" s="40"/>
      <c r="S993" s="40"/>
      <c r="T993" s="40"/>
    </row>
    <row r="994" spans="1:20" ht="15.75">
      <c r="A994" s="13">
        <v>71405</v>
      </c>
      <c r="B994" s="48">
        <f t="shared" si="6"/>
        <v>30</v>
      </c>
      <c r="C994" s="39">
        <v>194.20500000000001</v>
      </c>
      <c r="D994" s="39">
        <v>267.46600000000001</v>
      </c>
      <c r="E994" s="45">
        <v>812.32899999999995</v>
      </c>
      <c r="F994" s="39">
        <v>1274</v>
      </c>
      <c r="G994" s="39">
        <v>50</v>
      </c>
      <c r="H994" s="47">
        <v>600</v>
      </c>
      <c r="I994" s="39">
        <v>695</v>
      </c>
      <c r="J994" s="39">
        <v>50</v>
      </c>
      <c r="K994" s="40"/>
      <c r="L994" s="40"/>
      <c r="M994" s="40"/>
      <c r="N994" s="40"/>
      <c r="O994" s="40"/>
      <c r="P994" s="40"/>
      <c r="Q994" s="40"/>
      <c r="R994" s="40"/>
      <c r="S994" s="40"/>
      <c r="T994" s="40"/>
    </row>
    <row r="995" spans="1:20" ht="15.75">
      <c r="A995" s="13">
        <v>71436</v>
      </c>
      <c r="B995" s="48">
        <f t="shared" si="6"/>
        <v>31</v>
      </c>
      <c r="C995" s="39">
        <v>194.20500000000001</v>
      </c>
      <c r="D995" s="39">
        <v>267.46600000000001</v>
      </c>
      <c r="E995" s="45">
        <v>812.32899999999995</v>
      </c>
      <c r="F995" s="39">
        <v>1274</v>
      </c>
      <c r="G995" s="39">
        <v>50</v>
      </c>
      <c r="H995" s="47">
        <v>600</v>
      </c>
      <c r="I995" s="39">
        <v>695</v>
      </c>
      <c r="J995" s="39">
        <v>0</v>
      </c>
      <c r="K995" s="40"/>
      <c r="L995" s="40"/>
      <c r="M995" s="40"/>
      <c r="N995" s="40"/>
      <c r="O995" s="40"/>
      <c r="P995" s="40"/>
      <c r="Q995" s="40"/>
      <c r="R995" s="40"/>
      <c r="S995" s="40"/>
      <c r="T995" s="40"/>
    </row>
    <row r="996" spans="1:20" ht="15.75">
      <c r="A996" s="13">
        <v>71467</v>
      </c>
      <c r="B996" s="48">
        <f t="shared" si="6"/>
        <v>31</v>
      </c>
      <c r="C996" s="39">
        <v>194.20500000000001</v>
      </c>
      <c r="D996" s="39">
        <v>267.46600000000001</v>
      </c>
      <c r="E996" s="45">
        <v>812.32899999999995</v>
      </c>
      <c r="F996" s="39">
        <v>1274</v>
      </c>
      <c r="G996" s="39">
        <v>50</v>
      </c>
      <c r="H996" s="47">
        <v>600</v>
      </c>
      <c r="I996" s="39">
        <v>695</v>
      </c>
      <c r="J996" s="39">
        <v>0</v>
      </c>
      <c r="K996" s="40"/>
      <c r="L996" s="40"/>
      <c r="M996" s="40"/>
      <c r="N996" s="40"/>
      <c r="O996" s="40"/>
      <c r="P996" s="40"/>
      <c r="Q996" s="40"/>
      <c r="R996" s="40"/>
      <c r="S996" s="40"/>
      <c r="T996" s="40"/>
    </row>
    <row r="997" spans="1:20" ht="15.75">
      <c r="A997" s="13">
        <v>71497</v>
      </c>
      <c r="B997" s="48">
        <f t="shared" si="6"/>
        <v>30</v>
      </c>
      <c r="C997" s="39">
        <v>194.20500000000001</v>
      </c>
      <c r="D997" s="39">
        <v>267.46600000000001</v>
      </c>
      <c r="E997" s="45">
        <v>812.32899999999995</v>
      </c>
      <c r="F997" s="39">
        <v>1274</v>
      </c>
      <c r="G997" s="39">
        <v>50</v>
      </c>
      <c r="H997" s="47">
        <v>600</v>
      </c>
      <c r="I997" s="39">
        <v>695</v>
      </c>
      <c r="J997" s="39">
        <v>0</v>
      </c>
      <c r="K997" s="40"/>
      <c r="L997" s="40"/>
      <c r="M997" s="40"/>
      <c r="N997" s="40"/>
      <c r="O997" s="40"/>
      <c r="P997" s="40"/>
      <c r="Q997" s="40"/>
      <c r="R997" s="40"/>
      <c r="S997" s="40"/>
      <c r="T997" s="40"/>
    </row>
    <row r="998" spans="1:20" ht="15.75">
      <c r="A998" s="13">
        <v>71528</v>
      </c>
      <c r="B998" s="48">
        <f t="shared" si="6"/>
        <v>31</v>
      </c>
      <c r="C998" s="39">
        <v>131.881</v>
      </c>
      <c r="D998" s="39">
        <v>277.16699999999997</v>
      </c>
      <c r="E998" s="45">
        <v>829.952</v>
      </c>
      <c r="F998" s="39">
        <v>1239</v>
      </c>
      <c r="G998" s="39">
        <v>75</v>
      </c>
      <c r="H998" s="47">
        <v>600</v>
      </c>
      <c r="I998" s="39">
        <v>695</v>
      </c>
      <c r="J998" s="39">
        <v>0</v>
      </c>
      <c r="K998" s="40"/>
      <c r="L998" s="40"/>
      <c r="M998" s="40"/>
      <c r="N998" s="40"/>
      <c r="O998" s="40"/>
      <c r="P998" s="40"/>
      <c r="Q998" s="40"/>
      <c r="R998" s="40"/>
      <c r="S998" s="40"/>
      <c r="T998" s="40"/>
    </row>
    <row r="999" spans="1:20" ht="15.75">
      <c r="A999" s="13">
        <v>71558</v>
      </c>
      <c r="B999" s="48">
        <f t="shared" si="6"/>
        <v>30</v>
      </c>
      <c r="C999" s="39">
        <v>122.58</v>
      </c>
      <c r="D999" s="39">
        <v>297.94099999999997</v>
      </c>
      <c r="E999" s="45">
        <v>729.47900000000004</v>
      </c>
      <c r="F999" s="39">
        <v>1150</v>
      </c>
      <c r="G999" s="39">
        <v>100</v>
      </c>
      <c r="H999" s="47">
        <v>600</v>
      </c>
      <c r="I999" s="39">
        <v>695</v>
      </c>
      <c r="J999" s="39">
        <v>50</v>
      </c>
      <c r="K999" s="40"/>
      <c r="L999" s="40"/>
      <c r="M999" s="40"/>
      <c r="N999" s="40"/>
      <c r="O999" s="40"/>
      <c r="P999" s="40"/>
      <c r="Q999" s="40"/>
      <c r="R999" s="40"/>
      <c r="S999" s="40"/>
      <c r="T999" s="40"/>
    </row>
    <row r="1000" spans="1:20" ht="15.75">
      <c r="A1000" s="13">
        <v>71589</v>
      </c>
      <c r="B1000" s="48">
        <f t="shared" si="6"/>
        <v>31</v>
      </c>
      <c r="C1000" s="39">
        <v>122.58</v>
      </c>
      <c r="D1000" s="39">
        <v>297.94099999999997</v>
      </c>
      <c r="E1000" s="45">
        <v>729.47900000000004</v>
      </c>
      <c r="F1000" s="39">
        <v>1150</v>
      </c>
      <c r="G1000" s="39">
        <v>100</v>
      </c>
      <c r="H1000" s="47">
        <v>600</v>
      </c>
      <c r="I1000" s="39">
        <v>695</v>
      </c>
      <c r="J1000" s="39">
        <v>50</v>
      </c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</row>
    <row r="1001" spans="1:20" ht="15.75">
      <c r="A1001" s="13">
        <v>71620</v>
      </c>
      <c r="B1001" s="48">
        <f t="shared" si="6"/>
        <v>31</v>
      </c>
      <c r="C1001" s="39">
        <v>122.58</v>
      </c>
      <c r="D1001" s="39">
        <v>297.94099999999997</v>
      </c>
      <c r="E1001" s="45">
        <v>729.47900000000004</v>
      </c>
      <c r="F1001" s="39">
        <v>1150</v>
      </c>
      <c r="G1001" s="39">
        <v>100</v>
      </c>
      <c r="H1001" s="47">
        <v>600</v>
      </c>
      <c r="I1001" s="39">
        <v>695</v>
      </c>
      <c r="J1001" s="39">
        <v>50</v>
      </c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</row>
    <row r="1002" spans="1:20" ht="15.75">
      <c r="A1002" s="13">
        <v>71649</v>
      </c>
      <c r="B1002" s="48">
        <f t="shared" si="6"/>
        <v>29</v>
      </c>
      <c r="C1002" s="39">
        <v>122.58</v>
      </c>
      <c r="D1002" s="39">
        <v>297.94099999999997</v>
      </c>
      <c r="E1002" s="45">
        <v>729.47900000000004</v>
      </c>
      <c r="F1002" s="39">
        <v>1150</v>
      </c>
      <c r="G1002" s="39">
        <v>100</v>
      </c>
      <c r="H1002" s="47">
        <v>600</v>
      </c>
      <c r="I1002" s="39">
        <v>695</v>
      </c>
      <c r="J1002" s="39">
        <v>50</v>
      </c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</row>
    <row r="1003" spans="1:20" ht="15.75">
      <c r="A1003" s="13">
        <v>71680</v>
      </c>
      <c r="B1003" s="48">
        <f t="shared" si="6"/>
        <v>31</v>
      </c>
      <c r="C1003" s="39">
        <v>122.58</v>
      </c>
      <c r="D1003" s="39">
        <v>297.94099999999997</v>
      </c>
      <c r="E1003" s="45">
        <v>729.47900000000004</v>
      </c>
      <c r="F1003" s="39">
        <v>1150</v>
      </c>
      <c r="G1003" s="39">
        <v>100</v>
      </c>
      <c r="H1003" s="47">
        <v>600</v>
      </c>
      <c r="I1003" s="39">
        <v>695</v>
      </c>
      <c r="J1003" s="39">
        <v>50</v>
      </c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</row>
    <row r="1004" spans="1:20" ht="15.75">
      <c r="A1004" s="13">
        <v>71710</v>
      </c>
      <c r="B1004" s="48">
        <f t="shared" si="6"/>
        <v>30</v>
      </c>
      <c r="C1004" s="39">
        <v>141.29300000000001</v>
      </c>
      <c r="D1004" s="39">
        <v>267.99299999999999</v>
      </c>
      <c r="E1004" s="45">
        <v>829.71400000000006</v>
      </c>
      <c r="F1004" s="39">
        <v>1239</v>
      </c>
      <c r="G1004" s="39">
        <v>100</v>
      </c>
      <c r="H1004" s="47">
        <v>600</v>
      </c>
      <c r="I1004" s="39">
        <v>695</v>
      </c>
      <c r="J1004" s="39">
        <v>50</v>
      </c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</row>
    <row r="1005" spans="1:20" ht="15.75">
      <c r="A1005" s="13">
        <v>71741</v>
      </c>
      <c r="B1005" s="48">
        <f t="shared" si="6"/>
        <v>31</v>
      </c>
      <c r="C1005" s="39">
        <v>194.20500000000001</v>
      </c>
      <c r="D1005" s="39">
        <v>267.46600000000001</v>
      </c>
      <c r="E1005" s="45">
        <v>812.32899999999995</v>
      </c>
      <c r="F1005" s="39">
        <v>1274</v>
      </c>
      <c r="G1005" s="39">
        <v>75</v>
      </c>
      <c r="H1005" s="47">
        <v>600</v>
      </c>
      <c r="I1005" s="39">
        <v>695</v>
      </c>
      <c r="J1005" s="39">
        <v>50</v>
      </c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</row>
    <row r="1006" spans="1:20" ht="15.75">
      <c r="A1006" s="13">
        <v>71771</v>
      </c>
      <c r="B1006" s="48">
        <f t="shared" si="6"/>
        <v>30</v>
      </c>
      <c r="C1006" s="39">
        <v>194.20500000000001</v>
      </c>
      <c r="D1006" s="39">
        <v>267.46600000000001</v>
      </c>
      <c r="E1006" s="45">
        <v>812.32899999999995</v>
      </c>
      <c r="F1006" s="39">
        <v>1274</v>
      </c>
      <c r="G1006" s="39">
        <v>50</v>
      </c>
      <c r="H1006" s="47">
        <v>600</v>
      </c>
      <c r="I1006" s="39">
        <v>695</v>
      </c>
      <c r="J1006" s="39">
        <v>50</v>
      </c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</row>
    <row r="1007" spans="1:20" ht="15.75">
      <c r="A1007" s="13">
        <v>71802</v>
      </c>
      <c r="B1007" s="48">
        <f t="shared" si="6"/>
        <v>31</v>
      </c>
      <c r="C1007" s="39">
        <v>194.20500000000001</v>
      </c>
      <c r="D1007" s="39">
        <v>267.46600000000001</v>
      </c>
      <c r="E1007" s="45">
        <v>812.32899999999995</v>
      </c>
      <c r="F1007" s="39">
        <v>1274</v>
      </c>
      <c r="G1007" s="39">
        <v>50</v>
      </c>
      <c r="H1007" s="47">
        <v>600</v>
      </c>
      <c r="I1007" s="39">
        <v>695</v>
      </c>
      <c r="J1007" s="39">
        <v>0</v>
      </c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</row>
    <row r="1008" spans="1:20" ht="15.75">
      <c r="A1008" s="13">
        <v>71833</v>
      </c>
      <c r="B1008" s="48">
        <f t="shared" si="6"/>
        <v>31</v>
      </c>
      <c r="C1008" s="39">
        <v>194.20500000000001</v>
      </c>
      <c r="D1008" s="39">
        <v>267.46600000000001</v>
      </c>
      <c r="E1008" s="45">
        <v>812.32899999999995</v>
      </c>
      <c r="F1008" s="39">
        <v>1274</v>
      </c>
      <c r="G1008" s="39">
        <v>50</v>
      </c>
      <c r="H1008" s="47">
        <v>600</v>
      </c>
      <c r="I1008" s="39">
        <v>695</v>
      </c>
      <c r="J1008" s="39">
        <v>0</v>
      </c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</row>
    <row r="1009" spans="1:20" ht="15.75">
      <c r="A1009" s="13">
        <v>71863</v>
      </c>
      <c r="B1009" s="48">
        <f t="shared" si="6"/>
        <v>30</v>
      </c>
      <c r="C1009" s="39">
        <v>194.20500000000001</v>
      </c>
      <c r="D1009" s="39">
        <v>267.46600000000001</v>
      </c>
      <c r="E1009" s="45">
        <v>812.32899999999995</v>
      </c>
      <c r="F1009" s="39">
        <v>1274</v>
      </c>
      <c r="G1009" s="39">
        <v>50</v>
      </c>
      <c r="H1009" s="47">
        <v>600</v>
      </c>
      <c r="I1009" s="39">
        <v>695</v>
      </c>
      <c r="J1009" s="39">
        <v>0</v>
      </c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</row>
    <row r="1010" spans="1:20" ht="15.75">
      <c r="A1010" s="13">
        <v>71894</v>
      </c>
      <c r="B1010" s="48">
        <f t="shared" si="6"/>
        <v>31</v>
      </c>
      <c r="C1010" s="39">
        <v>131.881</v>
      </c>
      <c r="D1010" s="39">
        <v>277.16699999999997</v>
      </c>
      <c r="E1010" s="45">
        <v>829.952</v>
      </c>
      <c r="F1010" s="39">
        <v>1239</v>
      </c>
      <c r="G1010" s="39">
        <v>75</v>
      </c>
      <c r="H1010" s="47">
        <v>600</v>
      </c>
      <c r="I1010" s="39">
        <v>695</v>
      </c>
      <c r="J1010" s="39">
        <v>0</v>
      </c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</row>
    <row r="1011" spans="1:20" ht="15.75">
      <c r="A1011" s="13">
        <v>71924</v>
      </c>
      <c r="B1011" s="48">
        <f t="shared" si="6"/>
        <v>30</v>
      </c>
      <c r="C1011" s="39">
        <v>122.58</v>
      </c>
      <c r="D1011" s="39">
        <v>297.94099999999997</v>
      </c>
      <c r="E1011" s="45">
        <v>729.47900000000004</v>
      </c>
      <c r="F1011" s="39">
        <v>1150</v>
      </c>
      <c r="G1011" s="39">
        <v>100</v>
      </c>
      <c r="H1011" s="47">
        <v>600</v>
      </c>
      <c r="I1011" s="39">
        <v>695</v>
      </c>
      <c r="J1011" s="39">
        <v>50</v>
      </c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</row>
    <row r="1012" spans="1:20" ht="15.75">
      <c r="A1012" s="13">
        <v>71955</v>
      </c>
      <c r="B1012" s="48">
        <f t="shared" si="6"/>
        <v>31</v>
      </c>
      <c r="C1012" s="39">
        <v>122.58</v>
      </c>
      <c r="D1012" s="39">
        <v>297.94099999999997</v>
      </c>
      <c r="E1012" s="45">
        <v>729.47900000000004</v>
      </c>
      <c r="F1012" s="39">
        <v>1150</v>
      </c>
      <c r="G1012" s="39">
        <v>100</v>
      </c>
      <c r="H1012" s="47">
        <v>600</v>
      </c>
      <c r="I1012" s="39">
        <v>695</v>
      </c>
      <c r="J1012" s="39">
        <v>50</v>
      </c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</row>
    <row r="1013" spans="1:20" ht="15.75">
      <c r="A1013" s="13">
        <v>71986</v>
      </c>
      <c r="B1013" s="48">
        <f t="shared" si="6"/>
        <v>31</v>
      </c>
      <c r="C1013" s="39">
        <v>122.58</v>
      </c>
      <c r="D1013" s="39">
        <v>297.94099999999997</v>
      </c>
      <c r="E1013" s="45">
        <v>729.47900000000004</v>
      </c>
      <c r="F1013" s="39">
        <v>1150</v>
      </c>
      <c r="G1013" s="39">
        <v>100</v>
      </c>
      <c r="H1013" s="47">
        <v>600</v>
      </c>
      <c r="I1013" s="39">
        <v>695</v>
      </c>
      <c r="J1013" s="39">
        <v>50</v>
      </c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</row>
    <row r="1014" spans="1:20" ht="15.75">
      <c r="A1014" s="13">
        <v>72014</v>
      </c>
      <c r="B1014" s="48">
        <f t="shared" si="6"/>
        <v>28</v>
      </c>
      <c r="C1014" s="39">
        <v>122.58</v>
      </c>
      <c r="D1014" s="39">
        <v>297.94099999999997</v>
      </c>
      <c r="E1014" s="45">
        <v>729.47900000000004</v>
      </c>
      <c r="F1014" s="39">
        <v>1150</v>
      </c>
      <c r="G1014" s="39">
        <v>100</v>
      </c>
      <c r="H1014" s="47">
        <v>600</v>
      </c>
      <c r="I1014" s="39">
        <v>695</v>
      </c>
      <c r="J1014" s="39">
        <v>50</v>
      </c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</row>
    <row r="1015" spans="1:20" ht="15.75">
      <c r="A1015" s="13">
        <v>72045</v>
      </c>
      <c r="B1015" s="48">
        <f t="shared" si="6"/>
        <v>31</v>
      </c>
      <c r="C1015" s="39">
        <v>122.58</v>
      </c>
      <c r="D1015" s="39">
        <v>297.94099999999997</v>
      </c>
      <c r="E1015" s="45">
        <v>729.47900000000004</v>
      </c>
      <c r="F1015" s="39">
        <v>1150</v>
      </c>
      <c r="G1015" s="39">
        <v>100</v>
      </c>
      <c r="H1015" s="47">
        <v>600</v>
      </c>
      <c r="I1015" s="39">
        <v>695</v>
      </c>
      <c r="J1015" s="39">
        <v>50</v>
      </c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</row>
    <row r="1016" spans="1:20" ht="15.75">
      <c r="A1016" s="13">
        <v>72075</v>
      </c>
      <c r="B1016" s="48">
        <f t="shared" si="6"/>
        <v>30</v>
      </c>
      <c r="C1016" s="39">
        <v>141.29300000000001</v>
      </c>
      <c r="D1016" s="39">
        <v>267.99299999999999</v>
      </c>
      <c r="E1016" s="45">
        <v>829.71400000000006</v>
      </c>
      <c r="F1016" s="39">
        <v>1239</v>
      </c>
      <c r="G1016" s="39">
        <v>100</v>
      </c>
      <c r="H1016" s="47">
        <v>600</v>
      </c>
      <c r="I1016" s="39">
        <v>695</v>
      </c>
      <c r="J1016" s="39">
        <v>50</v>
      </c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</row>
    <row r="1017" spans="1:20" ht="15.75">
      <c r="A1017" s="13">
        <v>72106</v>
      </c>
      <c r="B1017" s="48">
        <f t="shared" si="6"/>
        <v>31</v>
      </c>
      <c r="C1017" s="39">
        <v>194.20500000000001</v>
      </c>
      <c r="D1017" s="39">
        <v>267.46600000000001</v>
      </c>
      <c r="E1017" s="45">
        <v>812.32899999999995</v>
      </c>
      <c r="F1017" s="39">
        <v>1274</v>
      </c>
      <c r="G1017" s="39">
        <v>75</v>
      </c>
      <c r="H1017" s="47">
        <v>600</v>
      </c>
      <c r="I1017" s="39">
        <v>695</v>
      </c>
      <c r="J1017" s="39">
        <v>50</v>
      </c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</row>
    <row r="1018" spans="1:20" ht="15.75">
      <c r="A1018" s="13">
        <v>72136</v>
      </c>
      <c r="B1018" s="48">
        <f t="shared" si="6"/>
        <v>30</v>
      </c>
      <c r="C1018" s="39">
        <v>194.20500000000001</v>
      </c>
      <c r="D1018" s="39">
        <v>267.46600000000001</v>
      </c>
      <c r="E1018" s="45">
        <v>812.32899999999995</v>
      </c>
      <c r="F1018" s="39">
        <v>1274</v>
      </c>
      <c r="G1018" s="39">
        <v>50</v>
      </c>
      <c r="H1018" s="47">
        <v>600</v>
      </c>
      <c r="I1018" s="39">
        <v>695</v>
      </c>
      <c r="J1018" s="39">
        <v>50</v>
      </c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</row>
    <row r="1019" spans="1:20" ht="15.75">
      <c r="A1019" s="13">
        <v>72167</v>
      </c>
      <c r="B1019" s="48">
        <f t="shared" si="6"/>
        <v>31</v>
      </c>
      <c r="C1019" s="39">
        <v>194.20500000000001</v>
      </c>
      <c r="D1019" s="39">
        <v>267.46600000000001</v>
      </c>
      <c r="E1019" s="45">
        <v>812.32899999999995</v>
      </c>
      <c r="F1019" s="39">
        <v>1274</v>
      </c>
      <c r="G1019" s="39">
        <v>50</v>
      </c>
      <c r="H1019" s="47">
        <v>600</v>
      </c>
      <c r="I1019" s="39">
        <v>695</v>
      </c>
      <c r="J1019" s="39">
        <v>0</v>
      </c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</row>
    <row r="1020" spans="1:20" ht="15.75">
      <c r="A1020" s="13">
        <v>72198</v>
      </c>
      <c r="B1020" s="48">
        <f t="shared" si="6"/>
        <v>31</v>
      </c>
      <c r="C1020" s="39">
        <v>194.20500000000001</v>
      </c>
      <c r="D1020" s="39">
        <v>267.46600000000001</v>
      </c>
      <c r="E1020" s="45">
        <v>812.32899999999995</v>
      </c>
      <c r="F1020" s="39">
        <v>1274</v>
      </c>
      <c r="G1020" s="39">
        <v>50</v>
      </c>
      <c r="H1020" s="47">
        <v>600</v>
      </c>
      <c r="I1020" s="39">
        <v>695</v>
      </c>
      <c r="J1020" s="39">
        <v>0</v>
      </c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</row>
    <row r="1021" spans="1:20" ht="15.75">
      <c r="A1021" s="13">
        <v>72228</v>
      </c>
      <c r="B1021" s="48">
        <f t="shared" si="6"/>
        <v>30</v>
      </c>
      <c r="C1021" s="39">
        <v>194.20500000000001</v>
      </c>
      <c r="D1021" s="39">
        <v>267.46600000000001</v>
      </c>
      <c r="E1021" s="45">
        <v>812.32899999999995</v>
      </c>
      <c r="F1021" s="39">
        <v>1274</v>
      </c>
      <c r="G1021" s="39">
        <v>50</v>
      </c>
      <c r="H1021" s="47">
        <v>600</v>
      </c>
      <c r="I1021" s="39">
        <v>695</v>
      </c>
      <c r="J1021" s="39">
        <v>0</v>
      </c>
      <c r="K1021" s="40"/>
      <c r="L1021" s="40"/>
      <c r="M1021" s="40"/>
      <c r="N1021" s="40"/>
      <c r="O1021" s="40"/>
      <c r="P1021" s="40"/>
      <c r="Q1021" s="40"/>
      <c r="R1021" s="40"/>
      <c r="S1021" s="40"/>
      <c r="T1021" s="40"/>
    </row>
    <row r="1022" spans="1:20" ht="15.75">
      <c r="A1022" s="13">
        <v>72259</v>
      </c>
      <c r="B1022" s="48">
        <f t="shared" si="6"/>
        <v>31</v>
      </c>
      <c r="C1022" s="39">
        <v>131.881</v>
      </c>
      <c r="D1022" s="39">
        <v>277.16699999999997</v>
      </c>
      <c r="E1022" s="45">
        <v>829.952</v>
      </c>
      <c r="F1022" s="39">
        <v>1239</v>
      </c>
      <c r="G1022" s="39">
        <v>75</v>
      </c>
      <c r="H1022" s="47">
        <v>600</v>
      </c>
      <c r="I1022" s="39">
        <v>695</v>
      </c>
      <c r="J1022" s="39">
        <v>0</v>
      </c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</row>
    <row r="1023" spans="1:20" ht="15.75">
      <c r="A1023" s="13">
        <v>72289</v>
      </c>
      <c r="B1023" s="48">
        <f t="shared" si="6"/>
        <v>30</v>
      </c>
      <c r="C1023" s="39">
        <v>122.58</v>
      </c>
      <c r="D1023" s="39">
        <v>297.94099999999997</v>
      </c>
      <c r="E1023" s="45">
        <v>729.47900000000004</v>
      </c>
      <c r="F1023" s="39">
        <v>1150</v>
      </c>
      <c r="G1023" s="39">
        <v>100</v>
      </c>
      <c r="H1023" s="47">
        <v>600</v>
      </c>
      <c r="I1023" s="39">
        <v>695</v>
      </c>
      <c r="J1023" s="39">
        <v>50</v>
      </c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</row>
    <row r="1024" spans="1:20" ht="15.75">
      <c r="A1024" s="13">
        <v>72320</v>
      </c>
      <c r="B1024" s="48">
        <f t="shared" si="6"/>
        <v>31</v>
      </c>
      <c r="C1024" s="39">
        <v>122.58</v>
      </c>
      <c r="D1024" s="39">
        <v>297.94099999999997</v>
      </c>
      <c r="E1024" s="45">
        <v>729.47900000000004</v>
      </c>
      <c r="F1024" s="39">
        <v>1150</v>
      </c>
      <c r="G1024" s="39">
        <v>100</v>
      </c>
      <c r="H1024" s="47">
        <v>600</v>
      </c>
      <c r="I1024" s="39">
        <v>695</v>
      </c>
      <c r="J1024" s="39">
        <v>50</v>
      </c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</row>
    <row r="1025" spans="1:20" ht="15.75">
      <c r="A1025" s="13">
        <v>72351</v>
      </c>
      <c r="B1025" s="48">
        <f t="shared" si="6"/>
        <v>31</v>
      </c>
      <c r="C1025" s="39">
        <v>122.58</v>
      </c>
      <c r="D1025" s="39">
        <v>297.94099999999997</v>
      </c>
      <c r="E1025" s="45">
        <v>729.47900000000004</v>
      </c>
      <c r="F1025" s="39">
        <v>1150</v>
      </c>
      <c r="G1025" s="39">
        <v>100</v>
      </c>
      <c r="H1025" s="47">
        <v>600</v>
      </c>
      <c r="I1025" s="39">
        <v>695</v>
      </c>
      <c r="J1025" s="39">
        <v>50</v>
      </c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</row>
    <row r="1026" spans="1:20" ht="15.75">
      <c r="A1026" s="13">
        <v>72379</v>
      </c>
      <c r="B1026" s="48">
        <f t="shared" si="6"/>
        <v>28</v>
      </c>
      <c r="C1026" s="39">
        <v>122.58</v>
      </c>
      <c r="D1026" s="39">
        <v>297.94099999999997</v>
      </c>
      <c r="E1026" s="45">
        <v>729.47900000000004</v>
      </c>
      <c r="F1026" s="39">
        <v>1150</v>
      </c>
      <c r="G1026" s="39">
        <v>100</v>
      </c>
      <c r="H1026" s="47">
        <v>600</v>
      </c>
      <c r="I1026" s="39">
        <v>695</v>
      </c>
      <c r="J1026" s="39">
        <v>50</v>
      </c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</row>
    <row r="1027" spans="1:20" ht="15.75">
      <c r="A1027" s="13">
        <v>72410</v>
      </c>
      <c r="B1027" s="48">
        <f t="shared" si="6"/>
        <v>31</v>
      </c>
      <c r="C1027" s="39">
        <v>122.58</v>
      </c>
      <c r="D1027" s="39">
        <v>297.94099999999997</v>
      </c>
      <c r="E1027" s="45">
        <v>729.47900000000004</v>
      </c>
      <c r="F1027" s="39">
        <v>1150</v>
      </c>
      <c r="G1027" s="39">
        <v>100</v>
      </c>
      <c r="H1027" s="47">
        <v>600</v>
      </c>
      <c r="I1027" s="39">
        <v>695</v>
      </c>
      <c r="J1027" s="39">
        <v>50</v>
      </c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</row>
    <row r="1028" spans="1:20" ht="15.75">
      <c r="A1028" s="13">
        <v>72440</v>
      </c>
      <c r="B1028" s="48">
        <f t="shared" si="6"/>
        <v>30</v>
      </c>
      <c r="C1028" s="39">
        <v>141.29300000000001</v>
      </c>
      <c r="D1028" s="39">
        <v>267.99299999999999</v>
      </c>
      <c r="E1028" s="45">
        <v>829.71400000000006</v>
      </c>
      <c r="F1028" s="39">
        <v>1239</v>
      </c>
      <c r="G1028" s="39">
        <v>100</v>
      </c>
      <c r="H1028" s="47">
        <v>600</v>
      </c>
      <c r="I1028" s="39">
        <v>695</v>
      </c>
      <c r="J1028" s="39">
        <v>50</v>
      </c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</row>
    <row r="1029" spans="1:20" ht="15.75">
      <c r="A1029" s="13">
        <v>72471</v>
      </c>
      <c r="B1029" s="48">
        <f t="shared" si="6"/>
        <v>31</v>
      </c>
      <c r="C1029" s="39">
        <v>194.20500000000001</v>
      </c>
      <c r="D1029" s="39">
        <v>267.46600000000001</v>
      </c>
      <c r="E1029" s="45">
        <v>812.32899999999995</v>
      </c>
      <c r="F1029" s="39">
        <v>1274</v>
      </c>
      <c r="G1029" s="39">
        <v>75</v>
      </c>
      <c r="H1029" s="47">
        <v>600</v>
      </c>
      <c r="I1029" s="39">
        <v>695</v>
      </c>
      <c r="J1029" s="39">
        <v>50</v>
      </c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</row>
    <row r="1030" spans="1:20" ht="15.75">
      <c r="A1030" s="13">
        <v>72501</v>
      </c>
      <c r="B1030" s="48">
        <f t="shared" si="6"/>
        <v>30</v>
      </c>
      <c r="C1030" s="39">
        <v>194.20500000000001</v>
      </c>
      <c r="D1030" s="39">
        <v>267.46600000000001</v>
      </c>
      <c r="E1030" s="45">
        <v>812.32899999999995</v>
      </c>
      <c r="F1030" s="39">
        <v>1274</v>
      </c>
      <c r="G1030" s="39">
        <v>50</v>
      </c>
      <c r="H1030" s="47">
        <v>600</v>
      </c>
      <c r="I1030" s="39">
        <v>695</v>
      </c>
      <c r="J1030" s="39">
        <v>50</v>
      </c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</row>
    <row r="1031" spans="1:20" ht="15.75">
      <c r="A1031" s="13">
        <v>72532</v>
      </c>
      <c r="B1031" s="48">
        <f t="shared" si="6"/>
        <v>31</v>
      </c>
      <c r="C1031" s="39">
        <v>194.20500000000001</v>
      </c>
      <c r="D1031" s="39">
        <v>267.46600000000001</v>
      </c>
      <c r="E1031" s="45">
        <v>812.32899999999995</v>
      </c>
      <c r="F1031" s="39">
        <v>1274</v>
      </c>
      <c r="G1031" s="39">
        <v>50</v>
      </c>
      <c r="H1031" s="47">
        <v>600</v>
      </c>
      <c r="I1031" s="39">
        <v>695</v>
      </c>
      <c r="J1031" s="39">
        <v>0</v>
      </c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</row>
    <row r="1032" spans="1:20" ht="15.75">
      <c r="A1032" s="13">
        <v>72563</v>
      </c>
      <c r="B1032" s="48">
        <f t="shared" si="6"/>
        <v>31</v>
      </c>
      <c r="C1032" s="39">
        <v>194.20500000000001</v>
      </c>
      <c r="D1032" s="39">
        <v>267.46600000000001</v>
      </c>
      <c r="E1032" s="45">
        <v>812.32899999999995</v>
      </c>
      <c r="F1032" s="39">
        <v>1274</v>
      </c>
      <c r="G1032" s="39">
        <v>50</v>
      </c>
      <c r="H1032" s="47">
        <v>600</v>
      </c>
      <c r="I1032" s="39">
        <v>695</v>
      </c>
      <c r="J1032" s="39">
        <v>0</v>
      </c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</row>
    <row r="1033" spans="1:20" ht="15.75">
      <c r="A1033" s="13">
        <v>72593</v>
      </c>
      <c r="B1033" s="48">
        <f t="shared" si="6"/>
        <v>30</v>
      </c>
      <c r="C1033" s="39">
        <v>194.20500000000001</v>
      </c>
      <c r="D1033" s="39">
        <v>267.46600000000001</v>
      </c>
      <c r="E1033" s="45">
        <v>812.32899999999995</v>
      </c>
      <c r="F1033" s="39">
        <v>1274</v>
      </c>
      <c r="G1033" s="39">
        <v>50</v>
      </c>
      <c r="H1033" s="47">
        <v>600</v>
      </c>
      <c r="I1033" s="39">
        <v>695</v>
      </c>
      <c r="J1033" s="39">
        <v>0</v>
      </c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</row>
    <row r="1034" spans="1:20" ht="15.75">
      <c r="A1034" s="13">
        <v>72624</v>
      </c>
      <c r="B1034" s="48">
        <f t="shared" si="6"/>
        <v>31</v>
      </c>
      <c r="C1034" s="39">
        <v>131.881</v>
      </c>
      <c r="D1034" s="39">
        <v>277.16699999999997</v>
      </c>
      <c r="E1034" s="45">
        <v>829.952</v>
      </c>
      <c r="F1034" s="39">
        <v>1239</v>
      </c>
      <c r="G1034" s="39">
        <v>75</v>
      </c>
      <c r="H1034" s="47">
        <v>600</v>
      </c>
      <c r="I1034" s="39">
        <v>695</v>
      </c>
      <c r="J1034" s="39">
        <v>0</v>
      </c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</row>
    <row r="1035" spans="1:20" ht="15.75">
      <c r="A1035" s="13">
        <v>72654</v>
      </c>
      <c r="B1035" s="48">
        <f t="shared" si="6"/>
        <v>30</v>
      </c>
      <c r="C1035" s="39">
        <v>122.58</v>
      </c>
      <c r="D1035" s="39">
        <v>297.94099999999997</v>
      </c>
      <c r="E1035" s="45">
        <v>729.47900000000004</v>
      </c>
      <c r="F1035" s="39">
        <v>1150</v>
      </c>
      <c r="G1035" s="39">
        <v>100</v>
      </c>
      <c r="H1035" s="47">
        <v>600</v>
      </c>
      <c r="I1035" s="39">
        <v>695</v>
      </c>
      <c r="J1035" s="39">
        <v>50</v>
      </c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</row>
    <row r="1036" spans="1:20" ht="15.75">
      <c r="A1036" s="13">
        <v>72685</v>
      </c>
      <c r="B1036" s="48">
        <f t="shared" si="6"/>
        <v>31</v>
      </c>
      <c r="C1036" s="39">
        <v>122.58</v>
      </c>
      <c r="D1036" s="39">
        <v>297.94099999999997</v>
      </c>
      <c r="E1036" s="45">
        <v>729.47900000000004</v>
      </c>
      <c r="F1036" s="39">
        <v>1150</v>
      </c>
      <c r="G1036" s="39">
        <v>100</v>
      </c>
      <c r="H1036" s="47">
        <v>600</v>
      </c>
      <c r="I1036" s="39">
        <v>695</v>
      </c>
      <c r="J1036" s="39">
        <v>50</v>
      </c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</row>
    <row r="1037" spans="1:20" ht="15.75">
      <c r="A1037" s="13">
        <v>72716</v>
      </c>
      <c r="B1037" s="48">
        <f t="shared" si="6"/>
        <v>31</v>
      </c>
      <c r="C1037" s="39">
        <v>122.58</v>
      </c>
      <c r="D1037" s="39">
        <v>297.94099999999997</v>
      </c>
      <c r="E1037" s="45">
        <v>729.47900000000004</v>
      </c>
      <c r="F1037" s="39">
        <v>1150</v>
      </c>
      <c r="G1037" s="39">
        <v>100</v>
      </c>
      <c r="H1037" s="47">
        <v>600</v>
      </c>
      <c r="I1037" s="39">
        <v>695</v>
      </c>
      <c r="J1037" s="39">
        <v>50</v>
      </c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</row>
    <row r="1038" spans="1:20" ht="15.75">
      <c r="A1038" s="13">
        <v>72744</v>
      </c>
      <c r="B1038" s="48">
        <f t="shared" si="6"/>
        <v>28</v>
      </c>
      <c r="C1038" s="39">
        <v>122.58</v>
      </c>
      <c r="D1038" s="39">
        <v>297.94099999999997</v>
      </c>
      <c r="E1038" s="45">
        <v>729.47900000000004</v>
      </c>
      <c r="F1038" s="39">
        <v>1150</v>
      </c>
      <c r="G1038" s="39">
        <v>100</v>
      </c>
      <c r="H1038" s="47">
        <v>600</v>
      </c>
      <c r="I1038" s="39">
        <v>695</v>
      </c>
      <c r="J1038" s="39">
        <v>50</v>
      </c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</row>
    <row r="1039" spans="1:20" ht="15.75">
      <c r="A1039" s="13">
        <v>72775</v>
      </c>
      <c r="B1039" s="48">
        <f t="shared" si="6"/>
        <v>31</v>
      </c>
      <c r="C1039" s="39">
        <v>122.58</v>
      </c>
      <c r="D1039" s="39">
        <v>297.94099999999997</v>
      </c>
      <c r="E1039" s="45">
        <v>729.47900000000004</v>
      </c>
      <c r="F1039" s="39">
        <v>1150</v>
      </c>
      <c r="G1039" s="39">
        <v>100</v>
      </c>
      <c r="H1039" s="47">
        <v>600</v>
      </c>
      <c r="I1039" s="39">
        <v>695</v>
      </c>
      <c r="J1039" s="39">
        <v>50</v>
      </c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</row>
    <row r="1040" spans="1:20" ht="15.75">
      <c r="A1040" s="13">
        <v>72805</v>
      </c>
      <c r="B1040" s="48">
        <f t="shared" si="6"/>
        <v>30</v>
      </c>
      <c r="C1040" s="39">
        <v>141.29300000000001</v>
      </c>
      <c r="D1040" s="39">
        <v>267.99299999999999</v>
      </c>
      <c r="E1040" s="45">
        <v>829.71400000000006</v>
      </c>
      <c r="F1040" s="39">
        <v>1239</v>
      </c>
      <c r="G1040" s="39">
        <v>100</v>
      </c>
      <c r="H1040" s="47">
        <v>600</v>
      </c>
      <c r="I1040" s="39">
        <v>695</v>
      </c>
      <c r="J1040" s="39">
        <v>50</v>
      </c>
      <c r="K1040" s="40"/>
      <c r="L1040" s="40"/>
      <c r="M1040" s="40"/>
      <c r="N1040" s="40"/>
      <c r="O1040" s="40"/>
      <c r="P1040" s="40"/>
      <c r="Q1040" s="40"/>
      <c r="R1040" s="40"/>
      <c r="S1040" s="40"/>
      <c r="T1040" s="40"/>
    </row>
    <row r="1041" spans="1:20" ht="15.75">
      <c r="A1041" s="13">
        <v>72836</v>
      </c>
      <c r="B1041" s="48">
        <f t="shared" ref="B1041:B1060" si="7">EOMONTH(A1041,0)-EOMONTH(A1041,-1)</f>
        <v>31</v>
      </c>
      <c r="C1041" s="39">
        <v>194.20500000000001</v>
      </c>
      <c r="D1041" s="39">
        <v>267.46600000000001</v>
      </c>
      <c r="E1041" s="45">
        <v>812.32899999999995</v>
      </c>
      <c r="F1041" s="39">
        <v>1274</v>
      </c>
      <c r="G1041" s="39">
        <v>75</v>
      </c>
      <c r="H1041" s="47">
        <v>600</v>
      </c>
      <c r="I1041" s="39">
        <v>695</v>
      </c>
      <c r="J1041" s="39">
        <v>50</v>
      </c>
      <c r="K1041" s="40"/>
      <c r="L1041" s="40"/>
      <c r="M1041" s="40"/>
      <c r="N1041" s="40"/>
      <c r="O1041" s="40"/>
      <c r="P1041" s="40"/>
      <c r="Q1041" s="40"/>
      <c r="R1041" s="40"/>
      <c r="S1041" s="40"/>
      <c r="T1041" s="40"/>
    </row>
    <row r="1042" spans="1:20" ht="15.75">
      <c r="A1042" s="13">
        <v>72866</v>
      </c>
      <c r="B1042" s="48">
        <f t="shared" si="7"/>
        <v>30</v>
      </c>
      <c r="C1042" s="39">
        <v>194.20500000000001</v>
      </c>
      <c r="D1042" s="39">
        <v>267.46600000000001</v>
      </c>
      <c r="E1042" s="45">
        <v>812.32899999999995</v>
      </c>
      <c r="F1042" s="39">
        <v>1274</v>
      </c>
      <c r="G1042" s="39">
        <v>50</v>
      </c>
      <c r="H1042" s="47">
        <v>600</v>
      </c>
      <c r="I1042" s="39">
        <v>695</v>
      </c>
      <c r="J1042" s="39">
        <v>50</v>
      </c>
      <c r="K1042" s="40"/>
      <c r="L1042" s="40"/>
      <c r="M1042" s="40"/>
      <c r="N1042" s="40"/>
      <c r="O1042" s="40"/>
      <c r="P1042" s="40"/>
      <c r="Q1042" s="40"/>
      <c r="R1042" s="40"/>
      <c r="S1042" s="40"/>
      <c r="T1042" s="40"/>
    </row>
    <row r="1043" spans="1:20" ht="15.75">
      <c r="A1043" s="13">
        <v>72897</v>
      </c>
      <c r="B1043" s="48">
        <f t="shared" si="7"/>
        <v>31</v>
      </c>
      <c r="C1043" s="39">
        <v>194.20500000000001</v>
      </c>
      <c r="D1043" s="39">
        <v>267.46600000000001</v>
      </c>
      <c r="E1043" s="45">
        <v>812.32899999999995</v>
      </c>
      <c r="F1043" s="39">
        <v>1274</v>
      </c>
      <c r="G1043" s="39">
        <v>50</v>
      </c>
      <c r="H1043" s="47">
        <v>600</v>
      </c>
      <c r="I1043" s="39">
        <v>695</v>
      </c>
      <c r="J1043" s="39">
        <v>0</v>
      </c>
      <c r="K1043" s="40"/>
      <c r="L1043" s="40"/>
      <c r="M1043" s="40"/>
      <c r="N1043" s="40"/>
      <c r="O1043" s="40"/>
      <c r="P1043" s="40"/>
      <c r="Q1043" s="40"/>
      <c r="R1043" s="40"/>
      <c r="S1043" s="40"/>
      <c r="T1043" s="40"/>
    </row>
    <row r="1044" spans="1:20" ht="15.75">
      <c r="A1044" s="13">
        <v>72928</v>
      </c>
      <c r="B1044" s="48">
        <f t="shared" si="7"/>
        <v>31</v>
      </c>
      <c r="C1044" s="39">
        <v>194.20500000000001</v>
      </c>
      <c r="D1044" s="39">
        <v>267.46600000000001</v>
      </c>
      <c r="E1044" s="45">
        <v>812.32899999999995</v>
      </c>
      <c r="F1044" s="39">
        <v>1274</v>
      </c>
      <c r="G1044" s="39">
        <v>50</v>
      </c>
      <c r="H1044" s="47">
        <v>600</v>
      </c>
      <c r="I1044" s="39">
        <v>695</v>
      </c>
      <c r="J1044" s="39">
        <v>0</v>
      </c>
      <c r="K1044" s="40"/>
      <c r="L1044" s="40"/>
      <c r="M1044" s="40"/>
      <c r="N1044" s="40"/>
      <c r="O1044" s="40"/>
      <c r="P1044" s="40"/>
      <c r="Q1044" s="40"/>
      <c r="R1044" s="40"/>
      <c r="S1044" s="40"/>
      <c r="T1044" s="40"/>
    </row>
    <row r="1045" spans="1:20" ht="15.75">
      <c r="A1045" s="13">
        <v>72958</v>
      </c>
      <c r="B1045" s="48">
        <f t="shared" si="7"/>
        <v>30</v>
      </c>
      <c r="C1045" s="39">
        <v>194.20500000000001</v>
      </c>
      <c r="D1045" s="39">
        <v>267.46600000000001</v>
      </c>
      <c r="E1045" s="45">
        <v>812.32899999999995</v>
      </c>
      <c r="F1045" s="39">
        <v>1274</v>
      </c>
      <c r="G1045" s="39">
        <v>50</v>
      </c>
      <c r="H1045" s="47">
        <v>600</v>
      </c>
      <c r="I1045" s="39">
        <v>695</v>
      </c>
      <c r="J1045" s="39">
        <v>0</v>
      </c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</row>
    <row r="1046" spans="1:20" ht="15.75">
      <c r="A1046" s="13">
        <v>72989</v>
      </c>
      <c r="B1046" s="48">
        <f t="shared" si="7"/>
        <v>31</v>
      </c>
      <c r="C1046" s="39">
        <v>131.881</v>
      </c>
      <c r="D1046" s="39">
        <v>277.16699999999997</v>
      </c>
      <c r="E1046" s="45">
        <v>829.952</v>
      </c>
      <c r="F1046" s="39">
        <v>1239</v>
      </c>
      <c r="G1046" s="39">
        <v>75</v>
      </c>
      <c r="H1046" s="47">
        <v>600</v>
      </c>
      <c r="I1046" s="39">
        <v>695</v>
      </c>
      <c r="J1046" s="39">
        <v>0</v>
      </c>
      <c r="K1046" s="40"/>
      <c r="L1046" s="40"/>
      <c r="M1046" s="40"/>
      <c r="N1046" s="40"/>
      <c r="O1046" s="40"/>
      <c r="P1046" s="40"/>
      <c r="Q1046" s="40"/>
      <c r="R1046" s="40"/>
      <c r="S1046" s="40"/>
      <c r="T1046" s="40"/>
    </row>
    <row r="1047" spans="1:20" ht="15.75">
      <c r="A1047" s="13">
        <v>73019</v>
      </c>
      <c r="B1047" s="48">
        <f t="shared" si="7"/>
        <v>30</v>
      </c>
      <c r="C1047" s="39">
        <v>122.58</v>
      </c>
      <c r="D1047" s="39">
        <v>297.94099999999997</v>
      </c>
      <c r="E1047" s="45">
        <v>729.47900000000004</v>
      </c>
      <c r="F1047" s="39">
        <v>1150</v>
      </c>
      <c r="G1047" s="39">
        <v>100</v>
      </c>
      <c r="H1047" s="47">
        <v>600</v>
      </c>
      <c r="I1047" s="39">
        <v>695</v>
      </c>
      <c r="J1047" s="39">
        <v>50</v>
      </c>
      <c r="K1047" s="40"/>
      <c r="L1047" s="40"/>
      <c r="M1047" s="40"/>
      <c r="N1047" s="40"/>
      <c r="O1047" s="40"/>
      <c r="P1047" s="40"/>
      <c r="Q1047" s="40"/>
      <c r="R1047" s="40"/>
      <c r="S1047" s="40"/>
      <c r="T1047" s="40"/>
    </row>
    <row r="1048" spans="1:20" ht="15.75">
      <c r="A1048" s="13">
        <v>73050</v>
      </c>
      <c r="B1048" s="48">
        <f t="shared" si="7"/>
        <v>31</v>
      </c>
      <c r="C1048" s="39">
        <v>122.58</v>
      </c>
      <c r="D1048" s="39">
        <v>297.94099999999997</v>
      </c>
      <c r="E1048" s="45">
        <v>729.47900000000004</v>
      </c>
      <c r="F1048" s="39">
        <v>1150</v>
      </c>
      <c r="G1048" s="39">
        <v>100</v>
      </c>
      <c r="H1048" s="47">
        <v>600</v>
      </c>
      <c r="I1048" s="39">
        <v>695</v>
      </c>
      <c r="J1048" s="39">
        <v>50</v>
      </c>
      <c r="K1048" s="40"/>
      <c r="L1048" s="40"/>
      <c r="M1048" s="40"/>
      <c r="N1048" s="40"/>
      <c r="O1048" s="40"/>
      <c r="P1048" s="40"/>
      <c r="Q1048" s="40"/>
      <c r="R1048" s="40"/>
      <c r="S1048" s="40"/>
      <c r="T1048" s="40"/>
    </row>
    <row r="1049" spans="1:20" ht="15.75">
      <c r="A1049" s="13">
        <v>73081</v>
      </c>
      <c r="B1049" s="48">
        <f t="shared" si="7"/>
        <v>31</v>
      </c>
      <c r="C1049" s="39">
        <v>122.58</v>
      </c>
      <c r="D1049" s="39">
        <v>297.94099999999997</v>
      </c>
      <c r="E1049" s="45">
        <v>729.47900000000004</v>
      </c>
      <c r="F1049" s="39">
        <v>1150</v>
      </c>
      <c r="G1049" s="39">
        <v>100</v>
      </c>
      <c r="H1049" s="47">
        <v>600</v>
      </c>
      <c r="I1049" s="39">
        <v>695</v>
      </c>
      <c r="J1049" s="39">
        <v>50</v>
      </c>
      <c r="K1049" s="40"/>
      <c r="L1049" s="40"/>
      <c r="M1049" s="40"/>
      <c r="N1049" s="40"/>
      <c r="O1049" s="40"/>
      <c r="P1049" s="40"/>
      <c r="Q1049" s="40"/>
      <c r="R1049" s="40"/>
      <c r="S1049" s="40"/>
      <c r="T1049" s="40"/>
    </row>
    <row r="1050" spans="1:20" ht="15.75">
      <c r="A1050" s="13">
        <v>73109</v>
      </c>
      <c r="B1050" s="48">
        <f t="shared" si="7"/>
        <v>28</v>
      </c>
      <c r="C1050" s="39">
        <v>122.58</v>
      </c>
      <c r="D1050" s="39">
        <v>297.94099999999997</v>
      </c>
      <c r="E1050" s="45">
        <v>729.47900000000004</v>
      </c>
      <c r="F1050" s="39">
        <v>1150</v>
      </c>
      <c r="G1050" s="39">
        <v>100</v>
      </c>
      <c r="H1050" s="47">
        <v>600</v>
      </c>
      <c r="I1050" s="39">
        <v>695</v>
      </c>
      <c r="J1050" s="39">
        <v>50</v>
      </c>
      <c r="K1050" s="40"/>
      <c r="L1050" s="40"/>
      <c r="M1050" s="40"/>
      <c r="N1050" s="40"/>
      <c r="O1050" s="40"/>
      <c r="P1050" s="40"/>
      <c r="Q1050" s="40"/>
      <c r="R1050" s="40"/>
      <c r="S1050" s="40"/>
      <c r="T1050" s="40"/>
    </row>
    <row r="1051" spans="1:20" ht="15.75">
      <c r="A1051" s="13">
        <v>73140</v>
      </c>
      <c r="B1051" s="48">
        <f t="shared" si="7"/>
        <v>31</v>
      </c>
      <c r="C1051" s="39">
        <v>122.58</v>
      </c>
      <c r="D1051" s="39">
        <v>297.94099999999997</v>
      </c>
      <c r="E1051" s="45">
        <v>729.47900000000004</v>
      </c>
      <c r="F1051" s="39">
        <v>1150</v>
      </c>
      <c r="G1051" s="39">
        <v>100</v>
      </c>
      <c r="H1051" s="47">
        <v>600</v>
      </c>
      <c r="I1051" s="39">
        <v>695</v>
      </c>
      <c r="J1051" s="39">
        <v>50</v>
      </c>
      <c r="K1051" s="40"/>
      <c r="L1051" s="40"/>
      <c r="M1051" s="40"/>
      <c r="N1051" s="40"/>
      <c r="O1051" s="40"/>
      <c r="P1051" s="40"/>
      <c r="Q1051" s="40"/>
      <c r="R1051" s="40"/>
      <c r="S1051" s="40"/>
      <c r="T1051" s="40"/>
    </row>
    <row r="1052" spans="1:20" ht="15.75">
      <c r="A1052" s="13">
        <v>73170</v>
      </c>
      <c r="B1052" s="48">
        <f t="shared" si="7"/>
        <v>30</v>
      </c>
      <c r="C1052" s="39">
        <v>141.29300000000001</v>
      </c>
      <c r="D1052" s="39">
        <v>267.99299999999999</v>
      </c>
      <c r="E1052" s="45">
        <v>829.71400000000006</v>
      </c>
      <c r="F1052" s="39">
        <v>1239</v>
      </c>
      <c r="G1052" s="39">
        <v>100</v>
      </c>
      <c r="H1052" s="47">
        <v>600</v>
      </c>
      <c r="I1052" s="39">
        <v>695</v>
      </c>
      <c r="J1052" s="39">
        <v>50</v>
      </c>
      <c r="K1052" s="40"/>
      <c r="L1052" s="40"/>
      <c r="M1052" s="40"/>
      <c r="N1052" s="40"/>
      <c r="O1052" s="40"/>
      <c r="P1052" s="40"/>
      <c r="Q1052" s="40"/>
      <c r="R1052" s="40"/>
      <c r="S1052" s="40"/>
      <c r="T1052" s="40"/>
    </row>
    <row r="1053" spans="1:20" ht="15.75">
      <c r="A1053" s="13">
        <v>73201</v>
      </c>
      <c r="B1053" s="48">
        <f t="shared" si="7"/>
        <v>31</v>
      </c>
      <c r="C1053" s="39">
        <v>194.20500000000001</v>
      </c>
      <c r="D1053" s="39">
        <v>267.46600000000001</v>
      </c>
      <c r="E1053" s="45">
        <v>812.32899999999995</v>
      </c>
      <c r="F1053" s="39">
        <v>1274</v>
      </c>
      <c r="G1053" s="39">
        <v>75</v>
      </c>
      <c r="H1053" s="47">
        <v>600</v>
      </c>
      <c r="I1053" s="39">
        <v>695</v>
      </c>
      <c r="J1053" s="39">
        <v>50</v>
      </c>
      <c r="K1053" s="40"/>
      <c r="L1053" s="40"/>
      <c r="M1053" s="40"/>
      <c r="N1053" s="40"/>
      <c r="O1053" s="40"/>
      <c r="P1053" s="40"/>
      <c r="Q1053" s="40"/>
      <c r="R1053" s="40"/>
      <c r="S1053" s="40"/>
      <c r="T1053" s="40"/>
    </row>
    <row r="1054" spans="1:20" ht="15.75">
      <c r="A1054" s="13">
        <v>73231</v>
      </c>
      <c r="B1054" s="48">
        <f t="shared" si="7"/>
        <v>30</v>
      </c>
      <c r="C1054" s="39">
        <v>194.20500000000001</v>
      </c>
      <c r="D1054" s="39">
        <v>267.46600000000001</v>
      </c>
      <c r="E1054" s="45">
        <v>812.32899999999995</v>
      </c>
      <c r="F1054" s="39">
        <v>1274</v>
      </c>
      <c r="G1054" s="39">
        <v>50</v>
      </c>
      <c r="H1054" s="47">
        <v>600</v>
      </c>
      <c r="I1054" s="39">
        <v>695</v>
      </c>
      <c r="J1054" s="39">
        <v>50</v>
      </c>
      <c r="K1054" s="40"/>
      <c r="L1054" s="40"/>
      <c r="M1054" s="40"/>
      <c r="N1054" s="40"/>
      <c r="O1054" s="40"/>
      <c r="P1054" s="40"/>
      <c r="Q1054" s="40"/>
      <c r="R1054" s="40"/>
      <c r="S1054" s="40"/>
      <c r="T1054" s="40"/>
    </row>
    <row r="1055" spans="1:20" ht="15.75">
      <c r="A1055" s="13">
        <v>73262</v>
      </c>
      <c r="B1055" s="48">
        <f t="shared" si="7"/>
        <v>31</v>
      </c>
      <c r="C1055" s="39">
        <v>194.20500000000001</v>
      </c>
      <c r="D1055" s="39">
        <v>267.46600000000001</v>
      </c>
      <c r="E1055" s="45">
        <v>812.32899999999995</v>
      </c>
      <c r="F1055" s="39">
        <v>1274</v>
      </c>
      <c r="G1055" s="39">
        <v>50</v>
      </c>
      <c r="H1055" s="47">
        <v>600</v>
      </c>
      <c r="I1055" s="39">
        <v>695</v>
      </c>
      <c r="J1055" s="39">
        <v>0</v>
      </c>
      <c r="K1055" s="40"/>
      <c r="L1055" s="40"/>
      <c r="M1055" s="40"/>
      <c r="N1055" s="40"/>
      <c r="O1055" s="40"/>
      <c r="P1055" s="40"/>
      <c r="Q1055" s="40"/>
      <c r="R1055" s="40"/>
      <c r="S1055" s="40"/>
      <c r="T1055" s="40"/>
    </row>
    <row r="1056" spans="1:20" ht="15.75">
      <c r="A1056" s="13">
        <v>73293</v>
      </c>
      <c r="B1056" s="48">
        <f t="shared" si="7"/>
        <v>31</v>
      </c>
      <c r="C1056" s="39">
        <v>194.20500000000001</v>
      </c>
      <c r="D1056" s="39">
        <v>267.46600000000001</v>
      </c>
      <c r="E1056" s="45">
        <v>812.32899999999995</v>
      </c>
      <c r="F1056" s="39">
        <v>1274</v>
      </c>
      <c r="G1056" s="39">
        <v>50</v>
      </c>
      <c r="H1056" s="47">
        <v>600</v>
      </c>
      <c r="I1056" s="39">
        <v>695</v>
      </c>
      <c r="J1056" s="39">
        <v>0</v>
      </c>
      <c r="K1056" s="40"/>
      <c r="L1056" s="40"/>
      <c r="M1056" s="40"/>
      <c r="N1056" s="40"/>
      <c r="O1056" s="40"/>
      <c r="P1056" s="40"/>
      <c r="Q1056" s="40"/>
      <c r="R1056" s="40"/>
      <c r="S1056" s="40"/>
      <c r="T1056" s="40"/>
    </row>
    <row r="1057" spans="1:20" ht="15.75">
      <c r="A1057" s="13">
        <v>73323</v>
      </c>
      <c r="B1057" s="48">
        <f t="shared" si="7"/>
        <v>30</v>
      </c>
      <c r="C1057" s="39">
        <v>194.20500000000001</v>
      </c>
      <c r="D1057" s="39">
        <v>267.46600000000001</v>
      </c>
      <c r="E1057" s="45">
        <v>812.32899999999995</v>
      </c>
      <c r="F1057" s="39">
        <v>1274</v>
      </c>
      <c r="G1057" s="39">
        <v>50</v>
      </c>
      <c r="H1057" s="47">
        <v>600</v>
      </c>
      <c r="I1057" s="39">
        <v>695</v>
      </c>
      <c r="J1057" s="39">
        <v>0</v>
      </c>
      <c r="K1057" s="40"/>
      <c r="L1057" s="40"/>
      <c r="M1057" s="40"/>
      <c r="N1057" s="40"/>
      <c r="O1057" s="40"/>
      <c r="P1057" s="40"/>
      <c r="Q1057" s="40"/>
      <c r="R1057" s="40"/>
      <c r="S1057" s="40"/>
      <c r="T1057" s="40"/>
    </row>
    <row r="1058" spans="1:20" ht="15.75">
      <c r="A1058" s="13">
        <v>73354</v>
      </c>
      <c r="B1058" s="48">
        <f t="shared" si="7"/>
        <v>31</v>
      </c>
      <c r="C1058" s="39">
        <v>131.881</v>
      </c>
      <c r="D1058" s="39">
        <v>277.16699999999997</v>
      </c>
      <c r="E1058" s="45">
        <v>829.952</v>
      </c>
      <c r="F1058" s="39">
        <v>1239</v>
      </c>
      <c r="G1058" s="39">
        <v>75</v>
      </c>
      <c r="H1058" s="47">
        <v>600</v>
      </c>
      <c r="I1058" s="39">
        <v>695</v>
      </c>
      <c r="J1058" s="39">
        <v>0</v>
      </c>
      <c r="K1058" s="40"/>
      <c r="L1058" s="40"/>
      <c r="M1058" s="40"/>
      <c r="N1058" s="40"/>
      <c r="O1058" s="40"/>
      <c r="P1058" s="40"/>
      <c r="Q1058" s="40"/>
      <c r="R1058" s="40"/>
      <c r="S1058" s="40"/>
      <c r="T1058" s="40"/>
    </row>
    <row r="1059" spans="1:20" ht="15.75">
      <c r="A1059" s="13">
        <v>73384</v>
      </c>
      <c r="B1059" s="48">
        <f t="shared" si="7"/>
        <v>30</v>
      </c>
      <c r="C1059" s="39">
        <v>122.58</v>
      </c>
      <c r="D1059" s="39">
        <v>297.94099999999997</v>
      </c>
      <c r="E1059" s="45">
        <v>729.47900000000004</v>
      </c>
      <c r="F1059" s="39">
        <v>1150</v>
      </c>
      <c r="G1059" s="39">
        <v>100</v>
      </c>
      <c r="H1059" s="47">
        <v>600</v>
      </c>
      <c r="I1059" s="39">
        <v>695</v>
      </c>
      <c r="J1059" s="39">
        <v>50</v>
      </c>
      <c r="K1059" s="40"/>
      <c r="L1059" s="40"/>
      <c r="M1059" s="40"/>
      <c r="N1059" s="40"/>
      <c r="O1059" s="40"/>
      <c r="P1059" s="40"/>
      <c r="Q1059" s="40"/>
      <c r="R1059" s="40"/>
      <c r="S1059" s="40"/>
      <c r="T1059" s="40"/>
    </row>
    <row r="1060" spans="1:20" ht="15.75">
      <c r="A1060" s="13">
        <v>73415</v>
      </c>
      <c r="B1060" s="48">
        <f t="shared" si="7"/>
        <v>31</v>
      </c>
      <c r="C1060" s="39">
        <v>122.58</v>
      </c>
      <c r="D1060" s="39">
        <v>297.94099999999997</v>
      </c>
      <c r="E1060" s="45">
        <v>729.47900000000004</v>
      </c>
      <c r="F1060" s="39">
        <v>1150</v>
      </c>
      <c r="G1060" s="39">
        <v>100</v>
      </c>
      <c r="H1060" s="47">
        <v>600</v>
      </c>
      <c r="I1060" s="39">
        <v>695</v>
      </c>
      <c r="J1060" s="39">
        <v>50</v>
      </c>
      <c r="K1060" s="40"/>
      <c r="L1060" s="40"/>
      <c r="M1060" s="40"/>
      <c r="N1060" s="40"/>
      <c r="O1060" s="40"/>
      <c r="P1060" s="40"/>
      <c r="Q1060" s="40"/>
      <c r="R1060" s="40"/>
      <c r="S1060" s="40"/>
      <c r="T1060" s="40"/>
    </row>
    <row r="1061" spans="1:20" ht="15">
      <c r="A1061" s="10"/>
      <c r="B1061" s="46"/>
      <c r="C1061" s="39"/>
      <c r="D1061" s="39"/>
      <c r="E1061" s="45"/>
      <c r="F1061" s="39"/>
      <c r="G1061" s="39"/>
      <c r="H1061" s="39"/>
      <c r="I1061" s="39"/>
      <c r="J1061" s="39"/>
      <c r="K1061" s="40"/>
      <c r="L1061" s="40"/>
      <c r="M1061" s="40"/>
      <c r="N1061" s="40"/>
      <c r="O1061" s="40"/>
      <c r="P1061" s="40"/>
      <c r="Q1061" s="40"/>
      <c r="R1061" s="40"/>
      <c r="S1061" s="40"/>
      <c r="T1061" s="40"/>
    </row>
    <row r="1062" spans="1:20" ht="15.75">
      <c r="A1062" s="3">
        <v>2014</v>
      </c>
      <c r="B1062" s="3">
        <f t="shared" ref="B1062:B1093" si="8">DATE(A1062+1,1,1)-DATE(A1062,1,1)</f>
        <v>365</v>
      </c>
      <c r="C1062" s="42">
        <f>AVERAGE(C17:C28)</f>
        <v>154.75825</v>
      </c>
      <c r="D1062" s="42">
        <f>AVERAGE(D17:D28)</f>
        <v>281.0162499999999</v>
      </c>
      <c r="E1062" s="42">
        <f>AVERAGE(E17:E28)</f>
        <v>801.55883333333315</v>
      </c>
      <c r="F1062" s="42">
        <f>AVERAGE(F17:F28)</f>
        <v>1237.3333333333333</v>
      </c>
      <c r="G1062" s="42">
        <f>AVERAGE(G17:G28)</f>
        <v>79.166666666666671</v>
      </c>
      <c r="H1062" s="44"/>
      <c r="I1062" s="42">
        <f>AVERAGE(I17:I28)</f>
        <v>695</v>
      </c>
      <c r="J1062" s="42">
        <f>AVERAGE(J17:J28)</f>
        <v>33.333333333333336</v>
      </c>
      <c r="K1062" s="40"/>
      <c r="L1062" s="40"/>
      <c r="M1062" s="40"/>
      <c r="N1062" s="40"/>
      <c r="O1062" s="40"/>
      <c r="P1062" s="40"/>
      <c r="Q1062" s="40"/>
      <c r="R1062" s="40"/>
      <c r="S1062" s="40"/>
      <c r="T1062" s="40"/>
    </row>
    <row r="1063" spans="1:20" ht="15.75">
      <c r="A1063" s="3">
        <v>2015</v>
      </c>
      <c r="B1063" s="3">
        <f t="shared" si="8"/>
        <v>365</v>
      </c>
      <c r="C1063" s="42">
        <f>AVERAGE(C29:C40)</f>
        <v>154.75825</v>
      </c>
      <c r="D1063" s="42">
        <f>AVERAGE(D29:D40)</f>
        <v>281.0162499999999</v>
      </c>
      <c r="E1063" s="42">
        <f>AVERAGE(E29:E40)</f>
        <v>801.55883333333315</v>
      </c>
      <c r="F1063" s="42">
        <f>AVERAGE(F29:F40)</f>
        <v>1237.3333333333333</v>
      </c>
      <c r="G1063" s="42">
        <f>AVERAGE(G29:G40)</f>
        <v>79.166666666666671</v>
      </c>
      <c r="H1063" s="44"/>
      <c r="I1063" s="42">
        <f>AVERAGE(I29:I40)</f>
        <v>695</v>
      </c>
      <c r="J1063" s="42">
        <f>AVERAGE(J29:J40)</f>
        <v>33.333333333333336</v>
      </c>
      <c r="K1063" s="40"/>
      <c r="L1063" s="40"/>
      <c r="M1063" s="40"/>
      <c r="N1063" s="40"/>
      <c r="O1063" s="40"/>
      <c r="P1063" s="40"/>
      <c r="Q1063" s="40"/>
      <c r="R1063" s="40"/>
      <c r="S1063" s="40"/>
      <c r="T1063" s="40"/>
    </row>
    <row r="1064" spans="1:20" ht="15.75">
      <c r="A1064" s="3">
        <v>2016</v>
      </c>
      <c r="B1064" s="3">
        <f t="shared" si="8"/>
        <v>366</v>
      </c>
      <c r="C1064" s="42">
        <f>AVERAGE(C41:C52)</f>
        <v>154.75825</v>
      </c>
      <c r="D1064" s="42">
        <f>AVERAGE(D41:D52)</f>
        <v>281.0162499999999</v>
      </c>
      <c r="E1064" s="42">
        <f>AVERAGE(E41:E52)</f>
        <v>780.7254999999999</v>
      </c>
      <c r="F1064" s="42">
        <f>AVERAGE(F41:F52)</f>
        <v>1216.5</v>
      </c>
      <c r="G1064" s="42">
        <f>AVERAGE(G41:G52)</f>
        <v>79.166666666666671</v>
      </c>
      <c r="H1064" s="44"/>
      <c r="I1064" s="42">
        <f>AVERAGE(I41:I52)</f>
        <v>695</v>
      </c>
      <c r="J1064" s="42">
        <f>AVERAGE(J41:J52)</f>
        <v>33.333333333333336</v>
      </c>
      <c r="K1064" s="40"/>
      <c r="L1064" s="40"/>
      <c r="M1064" s="40"/>
      <c r="N1064" s="40"/>
      <c r="O1064" s="40"/>
      <c r="P1064" s="40"/>
      <c r="Q1064" s="40"/>
      <c r="R1064" s="40"/>
      <c r="S1064" s="40"/>
      <c r="T1064" s="40"/>
    </row>
    <row r="1065" spans="1:20" ht="15">
      <c r="A1065" s="3">
        <v>2017</v>
      </c>
      <c r="B1065" s="3">
        <f t="shared" si="8"/>
        <v>365</v>
      </c>
      <c r="C1065" s="42">
        <f t="shared" ref="C1065:J1065" si="9">AVERAGE(C53:C64)</f>
        <v>154.75825</v>
      </c>
      <c r="D1065" s="42">
        <f t="shared" si="9"/>
        <v>281.0162499999999</v>
      </c>
      <c r="E1065" s="42">
        <f t="shared" si="9"/>
        <v>780.7254999999999</v>
      </c>
      <c r="F1065" s="42">
        <f t="shared" si="9"/>
        <v>1216.5</v>
      </c>
      <c r="G1065" s="42">
        <f t="shared" si="9"/>
        <v>79.166666666666671</v>
      </c>
      <c r="H1065" s="43">
        <f t="shared" si="9"/>
        <v>400</v>
      </c>
      <c r="I1065" s="42">
        <f t="shared" si="9"/>
        <v>695</v>
      </c>
      <c r="J1065" s="42">
        <f t="shared" si="9"/>
        <v>33.333333333333336</v>
      </c>
      <c r="K1065" s="40"/>
      <c r="L1065" s="40"/>
      <c r="M1065" s="40"/>
      <c r="N1065" s="40"/>
      <c r="O1065" s="40"/>
      <c r="P1065" s="40"/>
      <c r="Q1065" s="40"/>
      <c r="R1065" s="40"/>
      <c r="S1065" s="40"/>
      <c r="T1065" s="40"/>
    </row>
    <row r="1066" spans="1:20" ht="15">
      <c r="A1066" s="3">
        <v>2018</v>
      </c>
      <c r="B1066" s="3">
        <f t="shared" si="8"/>
        <v>365</v>
      </c>
      <c r="C1066" s="42">
        <f t="shared" ref="C1066:J1066" si="10">AVERAGE(C65:C76)</f>
        <v>154.75825</v>
      </c>
      <c r="D1066" s="42">
        <f t="shared" si="10"/>
        <v>281.0162499999999</v>
      </c>
      <c r="E1066" s="42">
        <f t="shared" si="10"/>
        <v>780.7254999999999</v>
      </c>
      <c r="F1066" s="42">
        <f t="shared" si="10"/>
        <v>1216.5</v>
      </c>
      <c r="G1066" s="42">
        <f t="shared" si="10"/>
        <v>79.166666666666671</v>
      </c>
      <c r="H1066" s="43">
        <f t="shared" si="10"/>
        <v>400</v>
      </c>
      <c r="I1066" s="42">
        <f t="shared" si="10"/>
        <v>695</v>
      </c>
      <c r="J1066" s="42">
        <f t="shared" si="10"/>
        <v>33.333333333333336</v>
      </c>
      <c r="K1066" s="40"/>
      <c r="L1066" s="40"/>
      <c r="M1066" s="40"/>
      <c r="N1066" s="40"/>
      <c r="O1066" s="40"/>
      <c r="P1066" s="40"/>
      <c r="Q1066" s="40"/>
      <c r="R1066" s="40"/>
      <c r="S1066" s="40"/>
      <c r="T1066" s="40"/>
    </row>
    <row r="1067" spans="1:20" ht="15">
      <c r="A1067" s="3">
        <v>2019</v>
      </c>
      <c r="B1067" s="3">
        <f t="shared" si="8"/>
        <v>365</v>
      </c>
      <c r="C1067" s="42">
        <f t="shared" ref="C1067:J1067" si="11">AVERAGE(C77:C88)</f>
        <v>154.75825</v>
      </c>
      <c r="D1067" s="42">
        <f t="shared" si="11"/>
        <v>281.0162499999999</v>
      </c>
      <c r="E1067" s="42">
        <f t="shared" si="11"/>
        <v>780.7254999999999</v>
      </c>
      <c r="F1067" s="42">
        <f t="shared" si="11"/>
        <v>1216.5</v>
      </c>
      <c r="G1067" s="42">
        <f t="shared" si="11"/>
        <v>79.166666666666671</v>
      </c>
      <c r="H1067" s="43">
        <f t="shared" si="11"/>
        <v>400</v>
      </c>
      <c r="I1067" s="42">
        <f t="shared" si="11"/>
        <v>695</v>
      </c>
      <c r="J1067" s="42">
        <f t="shared" si="11"/>
        <v>33.333333333333336</v>
      </c>
      <c r="K1067" s="40"/>
      <c r="L1067" s="40"/>
      <c r="M1067" s="40"/>
      <c r="N1067" s="40"/>
      <c r="O1067" s="40"/>
      <c r="P1067" s="40"/>
      <c r="Q1067" s="40"/>
      <c r="R1067" s="40"/>
      <c r="S1067" s="40"/>
      <c r="T1067" s="40"/>
    </row>
    <row r="1068" spans="1:20" ht="15">
      <c r="A1068" s="3">
        <v>2020</v>
      </c>
      <c r="B1068" s="3">
        <f t="shared" si="8"/>
        <v>366</v>
      </c>
      <c r="C1068" s="42">
        <f t="shared" ref="C1068:J1068" si="12">AVERAGE(C89:C100)</f>
        <v>154.75825</v>
      </c>
      <c r="D1068" s="42">
        <f t="shared" si="12"/>
        <v>281.0162499999999</v>
      </c>
      <c r="E1068" s="42">
        <f t="shared" si="12"/>
        <v>780.7254999999999</v>
      </c>
      <c r="F1068" s="42">
        <f t="shared" si="12"/>
        <v>1216.5</v>
      </c>
      <c r="G1068" s="42">
        <f t="shared" si="12"/>
        <v>79.166666666666671</v>
      </c>
      <c r="H1068" s="43">
        <f t="shared" si="12"/>
        <v>533.33333333333337</v>
      </c>
      <c r="I1068" s="42">
        <f t="shared" si="12"/>
        <v>695</v>
      </c>
      <c r="J1068" s="42">
        <f t="shared" si="12"/>
        <v>33.333333333333336</v>
      </c>
      <c r="K1068" s="40"/>
      <c r="L1068" s="40"/>
      <c r="M1068" s="40"/>
      <c r="N1068" s="40"/>
      <c r="O1068" s="40"/>
      <c r="P1068" s="40"/>
      <c r="Q1068" s="40"/>
      <c r="R1068" s="40"/>
      <c r="S1068" s="40"/>
      <c r="T1068" s="40"/>
    </row>
    <row r="1069" spans="1:20" ht="15">
      <c r="A1069" s="3">
        <v>2021</v>
      </c>
      <c r="B1069" s="3">
        <f t="shared" si="8"/>
        <v>365</v>
      </c>
      <c r="C1069" s="42">
        <f t="shared" ref="C1069:J1069" si="13">AVERAGE(C101:C112)</f>
        <v>154.75825</v>
      </c>
      <c r="D1069" s="42">
        <f t="shared" si="13"/>
        <v>281.0162499999999</v>
      </c>
      <c r="E1069" s="42">
        <f t="shared" si="13"/>
        <v>780.7254999999999</v>
      </c>
      <c r="F1069" s="42">
        <f t="shared" si="13"/>
        <v>1216.5</v>
      </c>
      <c r="G1069" s="42">
        <f t="shared" si="13"/>
        <v>79.166666666666671</v>
      </c>
      <c r="H1069" s="43">
        <f t="shared" si="13"/>
        <v>600</v>
      </c>
      <c r="I1069" s="42">
        <f t="shared" si="13"/>
        <v>695</v>
      </c>
      <c r="J1069" s="42">
        <f t="shared" si="13"/>
        <v>33.333333333333336</v>
      </c>
      <c r="K1069" s="40"/>
      <c r="L1069" s="40"/>
      <c r="M1069" s="40"/>
      <c r="N1069" s="40"/>
      <c r="O1069" s="40"/>
      <c r="P1069" s="40"/>
      <c r="Q1069" s="40"/>
      <c r="R1069" s="40"/>
      <c r="S1069" s="40"/>
      <c r="T1069" s="40"/>
    </row>
    <row r="1070" spans="1:20" ht="15">
      <c r="A1070" s="3">
        <v>2022</v>
      </c>
      <c r="B1070" s="3">
        <f t="shared" si="8"/>
        <v>365</v>
      </c>
      <c r="C1070" s="42">
        <f t="shared" ref="C1070:J1070" si="14">AVERAGE(C113:C124)</f>
        <v>154.75825</v>
      </c>
      <c r="D1070" s="42">
        <f t="shared" si="14"/>
        <v>281.0162499999999</v>
      </c>
      <c r="E1070" s="42">
        <f t="shared" si="14"/>
        <v>780.7254999999999</v>
      </c>
      <c r="F1070" s="42">
        <f t="shared" si="14"/>
        <v>1216.5</v>
      </c>
      <c r="G1070" s="42">
        <f t="shared" si="14"/>
        <v>79.166666666666671</v>
      </c>
      <c r="H1070" s="43">
        <f t="shared" si="14"/>
        <v>600</v>
      </c>
      <c r="I1070" s="42">
        <f t="shared" si="14"/>
        <v>695</v>
      </c>
      <c r="J1070" s="42">
        <f t="shared" si="14"/>
        <v>33.333333333333336</v>
      </c>
      <c r="K1070" s="40"/>
      <c r="L1070" s="40"/>
      <c r="M1070" s="40"/>
      <c r="N1070" s="40"/>
      <c r="O1070" s="40"/>
      <c r="P1070" s="40"/>
      <c r="Q1070" s="40"/>
      <c r="R1070" s="40"/>
      <c r="S1070" s="40"/>
      <c r="T1070" s="40"/>
    </row>
    <row r="1071" spans="1:20" ht="15">
      <c r="A1071" s="3">
        <v>2023</v>
      </c>
      <c r="B1071" s="3">
        <f t="shared" si="8"/>
        <v>365</v>
      </c>
      <c r="C1071" s="42">
        <f t="shared" ref="C1071:J1071" si="15">AVERAGE(C125:C136)</f>
        <v>154.75825</v>
      </c>
      <c r="D1071" s="42">
        <f t="shared" si="15"/>
        <v>281.0162499999999</v>
      </c>
      <c r="E1071" s="42">
        <f t="shared" si="15"/>
        <v>780.7254999999999</v>
      </c>
      <c r="F1071" s="42">
        <f t="shared" si="15"/>
        <v>1216.5</v>
      </c>
      <c r="G1071" s="42">
        <f t="shared" si="15"/>
        <v>79.166666666666671</v>
      </c>
      <c r="H1071" s="43">
        <f t="shared" si="15"/>
        <v>600</v>
      </c>
      <c r="I1071" s="42">
        <f t="shared" si="15"/>
        <v>695</v>
      </c>
      <c r="J1071" s="42">
        <f t="shared" si="15"/>
        <v>33.333333333333336</v>
      </c>
      <c r="K1071" s="40"/>
      <c r="L1071" s="40"/>
      <c r="M1071" s="40"/>
      <c r="N1071" s="40"/>
      <c r="O1071" s="40"/>
      <c r="P1071" s="40"/>
      <c r="Q1071" s="40"/>
      <c r="R1071" s="40"/>
      <c r="S1071" s="40"/>
      <c r="T1071" s="40"/>
    </row>
    <row r="1072" spans="1:20" ht="15">
      <c r="A1072" s="3">
        <v>2024</v>
      </c>
      <c r="B1072" s="3">
        <f t="shared" si="8"/>
        <v>366</v>
      </c>
      <c r="C1072" s="42">
        <f t="shared" ref="C1072:J1072" si="16">AVERAGE(C137:C148)</f>
        <v>154.75825</v>
      </c>
      <c r="D1072" s="42">
        <f t="shared" si="16"/>
        <v>281.0162499999999</v>
      </c>
      <c r="E1072" s="42">
        <f t="shared" si="16"/>
        <v>780.7254999999999</v>
      </c>
      <c r="F1072" s="42">
        <f t="shared" si="16"/>
        <v>1216.5</v>
      </c>
      <c r="G1072" s="42">
        <f t="shared" si="16"/>
        <v>79.166666666666671</v>
      </c>
      <c r="H1072" s="43">
        <f t="shared" si="16"/>
        <v>600</v>
      </c>
      <c r="I1072" s="42">
        <f t="shared" si="16"/>
        <v>695</v>
      </c>
      <c r="J1072" s="42">
        <f t="shared" si="16"/>
        <v>33.333333333333336</v>
      </c>
      <c r="K1072" s="40"/>
      <c r="L1072" s="40"/>
      <c r="M1072" s="40"/>
      <c r="N1072" s="40"/>
      <c r="O1072" s="40"/>
      <c r="P1072" s="40"/>
      <c r="Q1072" s="40"/>
      <c r="R1072" s="40"/>
      <c r="S1072" s="40"/>
      <c r="T1072" s="40"/>
    </row>
    <row r="1073" spans="1:20" ht="15">
      <c r="A1073" s="3">
        <v>2025</v>
      </c>
      <c r="B1073" s="3">
        <f t="shared" si="8"/>
        <v>365</v>
      </c>
      <c r="C1073" s="42">
        <f t="shared" ref="C1073:J1073" si="17">AVERAGE(C149:C160)</f>
        <v>154.75825</v>
      </c>
      <c r="D1073" s="42">
        <f t="shared" si="17"/>
        <v>281.0162499999999</v>
      </c>
      <c r="E1073" s="42">
        <f t="shared" si="17"/>
        <v>780.7254999999999</v>
      </c>
      <c r="F1073" s="42">
        <f t="shared" si="17"/>
        <v>1216.5</v>
      </c>
      <c r="G1073" s="42">
        <f t="shared" si="17"/>
        <v>79.166666666666671</v>
      </c>
      <c r="H1073" s="43">
        <f t="shared" si="17"/>
        <v>600</v>
      </c>
      <c r="I1073" s="42">
        <f t="shared" si="17"/>
        <v>695</v>
      </c>
      <c r="J1073" s="42">
        <f t="shared" si="17"/>
        <v>33.333333333333336</v>
      </c>
      <c r="K1073" s="40"/>
      <c r="L1073" s="40"/>
      <c r="M1073" s="40"/>
      <c r="N1073" s="40"/>
      <c r="O1073" s="40"/>
      <c r="P1073" s="40"/>
      <c r="Q1073" s="40"/>
      <c r="R1073" s="40"/>
      <c r="S1073" s="40"/>
      <c r="T1073" s="40"/>
    </row>
    <row r="1074" spans="1:20" ht="15">
      <c r="A1074" s="3">
        <v>2026</v>
      </c>
      <c r="B1074" s="3">
        <f t="shared" si="8"/>
        <v>365</v>
      </c>
      <c r="C1074" s="42">
        <f t="shared" ref="C1074:J1074" si="18">AVERAGE(C161:C172)</f>
        <v>154.75825</v>
      </c>
      <c r="D1074" s="42">
        <f t="shared" si="18"/>
        <v>281.0162499999999</v>
      </c>
      <c r="E1074" s="42">
        <f t="shared" si="18"/>
        <v>780.7254999999999</v>
      </c>
      <c r="F1074" s="42">
        <f t="shared" si="18"/>
        <v>1216.5</v>
      </c>
      <c r="G1074" s="42">
        <f t="shared" si="18"/>
        <v>79.166666666666671</v>
      </c>
      <c r="H1074" s="43">
        <f t="shared" si="18"/>
        <v>600</v>
      </c>
      <c r="I1074" s="42">
        <f t="shared" si="18"/>
        <v>695</v>
      </c>
      <c r="J1074" s="42">
        <f t="shared" si="18"/>
        <v>33.333333333333336</v>
      </c>
      <c r="K1074" s="40"/>
      <c r="L1074" s="40"/>
      <c r="M1074" s="40"/>
      <c r="N1074" s="40"/>
      <c r="O1074" s="40"/>
      <c r="P1074" s="40"/>
      <c r="Q1074" s="40"/>
      <c r="R1074" s="40"/>
      <c r="S1074" s="40"/>
      <c r="T1074" s="40"/>
    </row>
    <row r="1075" spans="1:20" ht="15">
      <c r="A1075" s="3">
        <v>2027</v>
      </c>
      <c r="B1075" s="3">
        <f t="shared" si="8"/>
        <v>365</v>
      </c>
      <c r="C1075" s="42">
        <f t="shared" ref="C1075:J1075" si="19">AVERAGE(C173:C184)</f>
        <v>154.75825</v>
      </c>
      <c r="D1075" s="42">
        <f t="shared" si="19"/>
        <v>281.0162499999999</v>
      </c>
      <c r="E1075" s="42">
        <f t="shared" si="19"/>
        <v>780.7254999999999</v>
      </c>
      <c r="F1075" s="42">
        <f t="shared" si="19"/>
        <v>1216.5</v>
      </c>
      <c r="G1075" s="42">
        <f t="shared" si="19"/>
        <v>79.166666666666671</v>
      </c>
      <c r="H1075" s="43">
        <f t="shared" si="19"/>
        <v>600</v>
      </c>
      <c r="I1075" s="42">
        <f t="shared" si="19"/>
        <v>695</v>
      </c>
      <c r="J1075" s="42">
        <f t="shared" si="19"/>
        <v>33.333333333333336</v>
      </c>
      <c r="K1075" s="40"/>
      <c r="L1075" s="40"/>
      <c r="M1075" s="40"/>
      <c r="N1075" s="40"/>
      <c r="O1075" s="40"/>
      <c r="P1075" s="40"/>
      <c r="Q1075" s="40"/>
      <c r="R1075" s="40"/>
      <c r="S1075" s="40"/>
      <c r="T1075" s="40"/>
    </row>
    <row r="1076" spans="1:20" ht="15">
      <c r="A1076" s="3">
        <v>2028</v>
      </c>
      <c r="B1076" s="3">
        <f t="shared" si="8"/>
        <v>366</v>
      </c>
      <c r="C1076" s="42">
        <f t="shared" ref="C1076:J1076" si="20">AVERAGE(C185:C196)</f>
        <v>154.75825</v>
      </c>
      <c r="D1076" s="42">
        <f t="shared" si="20"/>
        <v>281.0162499999999</v>
      </c>
      <c r="E1076" s="42">
        <f t="shared" si="20"/>
        <v>780.7254999999999</v>
      </c>
      <c r="F1076" s="42">
        <f t="shared" si="20"/>
        <v>1216.5</v>
      </c>
      <c r="G1076" s="42">
        <f t="shared" si="20"/>
        <v>79.166666666666671</v>
      </c>
      <c r="H1076" s="43">
        <f t="shared" si="20"/>
        <v>600</v>
      </c>
      <c r="I1076" s="42">
        <f t="shared" si="20"/>
        <v>695</v>
      </c>
      <c r="J1076" s="42">
        <f t="shared" si="20"/>
        <v>33.333333333333336</v>
      </c>
      <c r="K1076" s="40"/>
      <c r="L1076" s="40"/>
      <c r="M1076" s="40"/>
      <c r="N1076" s="40"/>
      <c r="O1076" s="40"/>
      <c r="P1076" s="40"/>
      <c r="Q1076" s="40"/>
      <c r="R1076" s="40"/>
      <c r="S1076" s="40"/>
      <c r="T1076" s="40"/>
    </row>
    <row r="1077" spans="1:20" ht="15">
      <c r="A1077" s="3">
        <v>2029</v>
      </c>
      <c r="B1077" s="3">
        <f t="shared" si="8"/>
        <v>365</v>
      </c>
      <c r="C1077" s="42">
        <f t="shared" ref="C1077:J1077" si="21">AVERAGE(C197:C208)</f>
        <v>154.75825</v>
      </c>
      <c r="D1077" s="42">
        <f t="shared" si="21"/>
        <v>281.0162499999999</v>
      </c>
      <c r="E1077" s="42">
        <f t="shared" si="21"/>
        <v>780.7254999999999</v>
      </c>
      <c r="F1077" s="42">
        <f t="shared" si="21"/>
        <v>1216.5</v>
      </c>
      <c r="G1077" s="42">
        <f t="shared" si="21"/>
        <v>79.166666666666671</v>
      </c>
      <c r="H1077" s="43">
        <f t="shared" si="21"/>
        <v>600</v>
      </c>
      <c r="I1077" s="42">
        <f t="shared" si="21"/>
        <v>695</v>
      </c>
      <c r="J1077" s="42">
        <f t="shared" si="21"/>
        <v>33.333333333333336</v>
      </c>
      <c r="K1077" s="40"/>
      <c r="L1077" s="40"/>
      <c r="M1077" s="40"/>
      <c r="N1077" s="40"/>
      <c r="O1077" s="40"/>
      <c r="P1077" s="40"/>
      <c r="Q1077" s="40"/>
      <c r="R1077" s="40"/>
      <c r="S1077" s="40"/>
      <c r="T1077" s="40"/>
    </row>
    <row r="1078" spans="1:20" ht="15">
      <c r="A1078" s="3">
        <v>2030</v>
      </c>
      <c r="B1078" s="3">
        <f t="shared" si="8"/>
        <v>365</v>
      </c>
      <c r="C1078" s="42">
        <f t="shared" ref="C1078:J1078" si="22">AVERAGE(C209:C220)</f>
        <v>154.75825</v>
      </c>
      <c r="D1078" s="42">
        <f t="shared" si="22"/>
        <v>281.0162499999999</v>
      </c>
      <c r="E1078" s="42">
        <f t="shared" si="22"/>
        <v>780.7254999999999</v>
      </c>
      <c r="F1078" s="42">
        <f t="shared" si="22"/>
        <v>1216.5</v>
      </c>
      <c r="G1078" s="42">
        <f t="shared" si="22"/>
        <v>79.166666666666671</v>
      </c>
      <c r="H1078" s="43">
        <f t="shared" si="22"/>
        <v>600</v>
      </c>
      <c r="I1078" s="42">
        <f t="shared" si="22"/>
        <v>695</v>
      </c>
      <c r="J1078" s="42">
        <f t="shared" si="22"/>
        <v>33.333333333333336</v>
      </c>
      <c r="K1078" s="40"/>
      <c r="L1078" s="40"/>
      <c r="M1078" s="40"/>
      <c r="N1078" s="40"/>
      <c r="O1078" s="40"/>
      <c r="P1078" s="40"/>
      <c r="Q1078" s="40"/>
      <c r="R1078" s="40"/>
      <c r="S1078" s="40"/>
      <c r="T1078" s="40"/>
    </row>
    <row r="1079" spans="1:20" ht="15">
      <c r="A1079" s="3">
        <v>2031</v>
      </c>
      <c r="B1079" s="3">
        <f t="shared" si="8"/>
        <v>365</v>
      </c>
      <c r="C1079" s="42">
        <f t="shared" ref="C1079:J1079" si="23">AVERAGE(C221:C232)</f>
        <v>154.75825</v>
      </c>
      <c r="D1079" s="42">
        <f t="shared" si="23"/>
        <v>281.0162499999999</v>
      </c>
      <c r="E1079" s="42">
        <f t="shared" si="23"/>
        <v>780.7254999999999</v>
      </c>
      <c r="F1079" s="42">
        <f t="shared" si="23"/>
        <v>1216.5</v>
      </c>
      <c r="G1079" s="42">
        <f t="shared" si="23"/>
        <v>79.166666666666671</v>
      </c>
      <c r="H1079" s="43">
        <f t="shared" si="23"/>
        <v>600</v>
      </c>
      <c r="I1079" s="42">
        <f t="shared" si="23"/>
        <v>695</v>
      </c>
      <c r="J1079" s="42">
        <f t="shared" si="23"/>
        <v>33.333333333333336</v>
      </c>
      <c r="K1079" s="40"/>
      <c r="L1079" s="40"/>
      <c r="M1079" s="40"/>
      <c r="N1079" s="40"/>
      <c r="O1079" s="40"/>
      <c r="P1079" s="40"/>
      <c r="Q1079" s="40"/>
      <c r="R1079" s="40"/>
      <c r="S1079" s="40"/>
      <c r="T1079" s="40"/>
    </row>
    <row r="1080" spans="1:20" ht="15">
      <c r="A1080" s="3">
        <v>2032</v>
      </c>
      <c r="B1080" s="3">
        <f t="shared" si="8"/>
        <v>366</v>
      </c>
      <c r="C1080" s="42">
        <f t="shared" ref="C1080:J1080" si="24">AVERAGE(C233:C244)</f>
        <v>154.75825</v>
      </c>
      <c r="D1080" s="42">
        <f t="shared" si="24"/>
        <v>281.0162499999999</v>
      </c>
      <c r="E1080" s="42">
        <f t="shared" si="24"/>
        <v>780.7254999999999</v>
      </c>
      <c r="F1080" s="42">
        <f t="shared" si="24"/>
        <v>1216.5</v>
      </c>
      <c r="G1080" s="42">
        <f t="shared" si="24"/>
        <v>79.166666666666671</v>
      </c>
      <c r="H1080" s="43">
        <f t="shared" si="24"/>
        <v>600</v>
      </c>
      <c r="I1080" s="42">
        <f t="shared" si="24"/>
        <v>695</v>
      </c>
      <c r="J1080" s="42">
        <f t="shared" si="24"/>
        <v>33.333333333333336</v>
      </c>
      <c r="K1080" s="40"/>
      <c r="L1080" s="40"/>
      <c r="M1080" s="40"/>
      <c r="N1080" s="40"/>
      <c r="O1080" s="40"/>
      <c r="P1080" s="40"/>
      <c r="Q1080" s="40"/>
      <c r="R1080" s="40"/>
      <c r="S1080" s="40"/>
      <c r="T1080" s="40"/>
    </row>
    <row r="1081" spans="1:20" ht="15">
      <c r="A1081" s="3">
        <v>2033</v>
      </c>
      <c r="B1081" s="3">
        <f t="shared" si="8"/>
        <v>365</v>
      </c>
      <c r="C1081" s="42">
        <f t="shared" ref="C1081:J1081" si="25">AVERAGE(C245:C256)</f>
        <v>154.75825</v>
      </c>
      <c r="D1081" s="42">
        <f t="shared" si="25"/>
        <v>281.0162499999999</v>
      </c>
      <c r="E1081" s="42">
        <f t="shared" si="25"/>
        <v>780.7254999999999</v>
      </c>
      <c r="F1081" s="42">
        <f t="shared" si="25"/>
        <v>1216.5</v>
      </c>
      <c r="G1081" s="42">
        <f t="shared" si="25"/>
        <v>79.166666666666671</v>
      </c>
      <c r="H1081" s="43">
        <f t="shared" si="25"/>
        <v>600</v>
      </c>
      <c r="I1081" s="42">
        <f t="shared" si="25"/>
        <v>695</v>
      </c>
      <c r="J1081" s="42">
        <f t="shared" si="25"/>
        <v>33.333333333333336</v>
      </c>
      <c r="K1081" s="40"/>
      <c r="L1081" s="40"/>
      <c r="M1081" s="40"/>
      <c r="N1081" s="40"/>
      <c r="O1081" s="40"/>
      <c r="P1081" s="40"/>
      <c r="Q1081" s="40"/>
      <c r="R1081" s="40"/>
      <c r="S1081" s="40"/>
      <c r="T1081" s="40"/>
    </row>
    <row r="1082" spans="1:20" ht="15">
      <c r="A1082" s="3">
        <v>2034</v>
      </c>
      <c r="B1082" s="3">
        <f t="shared" si="8"/>
        <v>365</v>
      </c>
      <c r="C1082" s="42">
        <f t="shared" ref="C1082:J1082" si="26">AVERAGE(C257:C268)</f>
        <v>154.75825</v>
      </c>
      <c r="D1082" s="42">
        <f t="shared" si="26"/>
        <v>281.0162499999999</v>
      </c>
      <c r="E1082" s="42">
        <f t="shared" si="26"/>
        <v>780.7254999999999</v>
      </c>
      <c r="F1082" s="42">
        <f t="shared" si="26"/>
        <v>1216.5</v>
      </c>
      <c r="G1082" s="42">
        <f t="shared" si="26"/>
        <v>79.166666666666671</v>
      </c>
      <c r="H1082" s="43">
        <f t="shared" si="26"/>
        <v>600</v>
      </c>
      <c r="I1082" s="42">
        <f t="shared" si="26"/>
        <v>695</v>
      </c>
      <c r="J1082" s="42">
        <f t="shared" si="26"/>
        <v>33.333333333333336</v>
      </c>
      <c r="K1082" s="40"/>
      <c r="L1082" s="40"/>
      <c r="M1082" s="40"/>
      <c r="N1082" s="40"/>
      <c r="O1082" s="40"/>
      <c r="P1082" s="40"/>
      <c r="Q1082" s="40"/>
      <c r="R1082" s="40"/>
      <c r="S1082" s="40"/>
      <c r="T1082" s="40"/>
    </row>
    <row r="1083" spans="1:20" ht="15">
      <c r="A1083" s="3">
        <v>2035</v>
      </c>
      <c r="B1083" s="3">
        <f t="shared" si="8"/>
        <v>365</v>
      </c>
      <c r="C1083" s="42">
        <f t="shared" ref="C1083:J1083" si="27">AVERAGE(C269:C280)</f>
        <v>154.75825</v>
      </c>
      <c r="D1083" s="42">
        <f t="shared" si="27"/>
        <v>281.0162499999999</v>
      </c>
      <c r="E1083" s="42">
        <f t="shared" si="27"/>
        <v>780.7254999999999</v>
      </c>
      <c r="F1083" s="42">
        <f t="shared" si="27"/>
        <v>1216.5</v>
      </c>
      <c r="G1083" s="42">
        <f t="shared" si="27"/>
        <v>79.166666666666671</v>
      </c>
      <c r="H1083" s="43">
        <f t="shared" si="27"/>
        <v>600</v>
      </c>
      <c r="I1083" s="42">
        <f t="shared" si="27"/>
        <v>695</v>
      </c>
      <c r="J1083" s="42">
        <f t="shared" si="27"/>
        <v>33.333333333333336</v>
      </c>
      <c r="K1083" s="40"/>
      <c r="L1083" s="40"/>
      <c r="M1083" s="40"/>
      <c r="N1083" s="40"/>
      <c r="O1083" s="40"/>
      <c r="P1083" s="40"/>
      <c r="Q1083" s="40"/>
      <c r="R1083" s="40"/>
      <c r="S1083" s="40"/>
      <c r="T1083" s="40"/>
    </row>
    <row r="1084" spans="1:20" ht="15">
      <c r="A1084" s="3">
        <v>2036</v>
      </c>
      <c r="B1084" s="3">
        <f t="shared" si="8"/>
        <v>366</v>
      </c>
      <c r="C1084" s="42">
        <f t="shared" ref="C1084:J1084" si="28">AVERAGE(C281:C292)</f>
        <v>154.75825</v>
      </c>
      <c r="D1084" s="42">
        <f t="shared" si="28"/>
        <v>281.0162499999999</v>
      </c>
      <c r="E1084" s="42">
        <f t="shared" si="28"/>
        <v>780.7254999999999</v>
      </c>
      <c r="F1084" s="42">
        <f t="shared" si="28"/>
        <v>1216.5</v>
      </c>
      <c r="G1084" s="42">
        <f t="shared" si="28"/>
        <v>79.166666666666671</v>
      </c>
      <c r="H1084" s="43">
        <f t="shared" si="28"/>
        <v>600</v>
      </c>
      <c r="I1084" s="42">
        <f t="shared" si="28"/>
        <v>695</v>
      </c>
      <c r="J1084" s="42">
        <f t="shared" si="28"/>
        <v>33.333333333333336</v>
      </c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</row>
    <row r="1085" spans="1:20" ht="15">
      <c r="A1085" s="3">
        <v>2037</v>
      </c>
      <c r="B1085" s="3">
        <f t="shared" si="8"/>
        <v>365</v>
      </c>
      <c r="C1085" s="42">
        <f t="shared" ref="C1085:J1085" si="29">AVERAGE(C293:C304)</f>
        <v>154.75825</v>
      </c>
      <c r="D1085" s="42">
        <f t="shared" si="29"/>
        <v>281.0162499999999</v>
      </c>
      <c r="E1085" s="42">
        <f t="shared" si="29"/>
        <v>780.7254999999999</v>
      </c>
      <c r="F1085" s="42">
        <f t="shared" si="29"/>
        <v>1216.5</v>
      </c>
      <c r="G1085" s="42">
        <f t="shared" si="29"/>
        <v>79.166666666666671</v>
      </c>
      <c r="H1085" s="43">
        <f t="shared" si="29"/>
        <v>600</v>
      </c>
      <c r="I1085" s="42">
        <f t="shared" si="29"/>
        <v>695</v>
      </c>
      <c r="J1085" s="42">
        <f t="shared" si="29"/>
        <v>33.333333333333336</v>
      </c>
      <c r="K1085" s="40"/>
      <c r="L1085" s="40"/>
      <c r="M1085" s="40"/>
      <c r="N1085" s="40"/>
      <c r="O1085" s="40"/>
      <c r="P1085" s="40"/>
      <c r="Q1085" s="40"/>
      <c r="R1085" s="40"/>
      <c r="S1085" s="40"/>
      <c r="T1085" s="40"/>
    </row>
    <row r="1086" spans="1:20" ht="15">
      <c r="A1086" s="3">
        <f t="shared" ref="A1086:A1117" si="30">A1085+1</f>
        <v>2038</v>
      </c>
      <c r="B1086" s="3">
        <f t="shared" si="8"/>
        <v>365</v>
      </c>
      <c r="C1086" s="39">
        <f t="shared" ref="C1086:J1086" si="31">AVERAGE(C305:C316)</f>
        <v>154.75825</v>
      </c>
      <c r="D1086" s="39">
        <f t="shared" si="31"/>
        <v>281.0162499999999</v>
      </c>
      <c r="E1086" s="39">
        <f t="shared" si="31"/>
        <v>780.7254999999999</v>
      </c>
      <c r="F1086" s="39">
        <f t="shared" si="31"/>
        <v>1216.5</v>
      </c>
      <c r="G1086" s="39">
        <f t="shared" si="31"/>
        <v>79.166666666666671</v>
      </c>
      <c r="H1086" s="41">
        <f t="shared" si="31"/>
        <v>600</v>
      </c>
      <c r="I1086" s="39">
        <f t="shared" si="31"/>
        <v>695</v>
      </c>
      <c r="J1086" s="39">
        <f t="shared" si="31"/>
        <v>33.333333333333336</v>
      </c>
      <c r="K1086" s="40"/>
      <c r="L1086" s="40"/>
      <c r="M1086" s="40"/>
      <c r="N1086" s="40"/>
      <c r="O1086" s="40"/>
      <c r="P1086" s="40"/>
      <c r="Q1086" s="40"/>
      <c r="R1086" s="40"/>
      <c r="S1086" s="40"/>
      <c r="T1086" s="40"/>
    </row>
    <row r="1087" spans="1:20" ht="15">
      <c r="A1087" s="3">
        <f t="shared" si="30"/>
        <v>2039</v>
      </c>
      <c r="B1087" s="3">
        <f t="shared" si="8"/>
        <v>365</v>
      </c>
      <c r="C1087" s="39">
        <f t="shared" ref="C1087:J1087" si="32">AVERAGE(C317:C328)</f>
        <v>154.75825</v>
      </c>
      <c r="D1087" s="39">
        <f t="shared" si="32"/>
        <v>281.0162499999999</v>
      </c>
      <c r="E1087" s="39">
        <f t="shared" si="32"/>
        <v>780.7254999999999</v>
      </c>
      <c r="F1087" s="39">
        <f t="shared" si="32"/>
        <v>1216.5</v>
      </c>
      <c r="G1087" s="39">
        <f t="shared" si="32"/>
        <v>79.166666666666671</v>
      </c>
      <c r="H1087" s="41">
        <f t="shared" si="32"/>
        <v>600</v>
      </c>
      <c r="I1087" s="39">
        <f t="shared" si="32"/>
        <v>695</v>
      </c>
      <c r="J1087" s="39">
        <f t="shared" si="32"/>
        <v>33.333333333333336</v>
      </c>
      <c r="K1087" s="40"/>
      <c r="L1087" s="40"/>
      <c r="M1087" s="40"/>
      <c r="N1087" s="40"/>
      <c r="O1087" s="40"/>
      <c r="P1087" s="40"/>
      <c r="Q1087" s="40"/>
      <c r="R1087" s="40"/>
      <c r="S1087" s="40"/>
      <c r="T1087" s="40"/>
    </row>
    <row r="1088" spans="1:20" ht="15">
      <c r="A1088" s="3">
        <f t="shared" si="30"/>
        <v>2040</v>
      </c>
      <c r="B1088" s="3">
        <f t="shared" si="8"/>
        <v>366</v>
      </c>
      <c r="C1088" s="39">
        <f t="shared" ref="C1088:J1088" si="33">AVERAGE(C329:C340)</f>
        <v>154.75825</v>
      </c>
      <c r="D1088" s="39">
        <f t="shared" si="33"/>
        <v>281.0162499999999</v>
      </c>
      <c r="E1088" s="39">
        <f t="shared" si="33"/>
        <v>780.7254999999999</v>
      </c>
      <c r="F1088" s="39">
        <f t="shared" si="33"/>
        <v>1216.5</v>
      </c>
      <c r="G1088" s="39">
        <f t="shared" si="33"/>
        <v>79.166666666666671</v>
      </c>
      <c r="H1088" s="41">
        <f t="shared" si="33"/>
        <v>600</v>
      </c>
      <c r="I1088" s="39">
        <f t="shared" si="33"/>
        <v>695</v>
      </c>
      <c r="J1088" s="39">
        <f t="shared" si="33"/>
        <v>33.333333333333336</v>
      </c>
      <c r="K1088" s="40"/>
      <c r="L1088" s="40"/>
      <c r="M1088" s="40"/>
      <c r="N1088" s="40"/>
      <c r="O1088" s="40"/>
      <c r="P1088" s="40"/>
      <c r="Q1088" s="40"/>
      <c r="R1088" s="40"/>
      <c r="S1088" s="40"/>
      <c r="T1088" s="40"/>
    </row>
    <row r="1089" spans="1:20" ht="15">
      <c r="A1089" s="3">
        <f t="shared" si="30"/>
        <v>2041</v>
      </c>
      <c r="B1089" s="3">
        <f t="shared" si="8"/>
        <v>365</v>
      </c>
      <c r="C1089" s="39">
        <f t="shared" ref="C1089:J1089" si="34">AVERAGE(C341:C352)</f>
        <v>154.75825</v>
      </c>
      <c r="D1089" s="39">
        <f t="shared" si="34"/>
        <v>281.0162499999999</v>
      </c>
      <c r="E1089" s="39">
        <f t="shared" si="34"/>
        <v>780.7254999999999</v>
      </c>
      <c r="F1089" s="39">
        <f t="shared" si="34"/>
        <v>1216.5</v>
      </c>
      <c r="G1089" s="39">
        <f t="shared" si="34"/>
        <v>79.166666666666671</v>
      </c>
      <c r="H1089" s="41">
        <f t="shared" si="34"/>
        <v>600</v>
      </c>
      <c r="I1089" s="39">
        <f t="shared" si="34"/>
        <v>695</v>
      </c>
      <c r="J1089" s="39">
        <f t="shared" si="34"/>
        <v>33.333333333333336</v>
      </c>
      <c r="K1089" s="40"/>
      <c r="L1089" s="40"/>
      <c r="M1089" s="40"/>
      <c r="N1089" s="40"/>
      <c r="O1089" s="40"/>
      <c r="P1089" s="40"/>
      <c r="Q1089" s="40"/>
      <c r="R1089" s="40"/>
      <c r="S1089" s="40"/>
      <c r="T1089" s="40"/>
    </row>
    <row r="1090" spans="1:20" ht="15">
      <c r="A1090" s="3">
        <f t="shared" si="30"/>
        <v>2042</v>
      </c>
      <c r="B1090" s="3">
        <f t="shared" si="8"/>
        <v>365</v>
      </c>
      <c r="C1090" s="39">
        <f t="shared" ref="C1090:J1090" si="35">AVERAGE(C353:C364)</f>
        <v>154.75825</v>
      </c>
      <c r="D1090" s="39">
        <f t="shared" si="35"/>
        <v>281.0162499999999</v>
      </c>
      <c r="E1090" s="39">
        <f t="shared" si="35"/>
        <v>780.7254999999999</v>
      </c>
      <c r="F1090" s="39">
        <f t="shared" si="35"/>
        <v>1216.5</v>
      </c>
      <c r="G1090" s="39">
        <f t="shared" si="35"/>
        <v>79.166666666666671</v>
      </c>
      <c r="H1090" s="41">
        <f t="shared" si="35"/>
        <v>600</v>
      </c>
      <c r="I1090" s="39">
        <f t="shared" si="35"/>
        <v>695</v>
      </c>
      <c r="J1090" s="39">
        <f t="shared" si="35"/>
        <v>33.333333333333336</v>
      </c>
      <c r="K1090" s="40"/>
      <c r="L1090" s="40"/>
      <c r="M1090" s="40"/>
      <c r="N1090" s="40"/>
      <c r="O1090" s="40"/>
      <c r="P1090" s="40"/>
      <c r="Q1090" s="40"/>
      <c r="R1090" s="40"/>
      <c r="S1090" s="40"/>
      <c r="T1090" s="40"/>
    </row>
    <row r="1091" spans="1:20" ht="15">
      <c r="A1091" s="3">
        <f t="shared" si="30"/>
        <v>2043</v>
      </c>
      <c r="B1091" s="3">
        <f t="shared" si="8"/>
        <v>365</v>
      </c>
      <c r="C1091" s="39">
        <f t="shared" ref="C1091:J1091" si="36">AVERAGE(C365:C376)</f>
        <v>154.75825</v>
      </c>
      <c r="D1091" s="39">
        <f t="shared" si="36"/>
        <v>281.0162499999999</v>
      </c>
      <c r="E1091" s="39">
        <f t="shared" si="36"/>
        <v>780.7254999999999</v>
      </c>
      <c r="F1091" s="39">
        <f t="shared" si="36"/>
        <v>1216.5</v>
      </c>
      <c r="G1091" s="39">
        <f t="shared" si="36"/>
        <v>79.166666666666671</v>
      </c>
      <c r="H1091" s="41">
        <f t="shared" si="36"/>
        <v>600</v>
      </c>
      <c r="I1091" s="39">
        <f t="shared" si="36"/>
        <v>695</v>
      </c>
      <c r="J1091" s="39">
        <f t="shared" si="36"/>
        <v>33.333333333333336</v>
      </c>
      <c r="K1091" s="40"/>
      <c r="L1091" s="40"/>
      <c r="M1091" s="40"/>
      <c r="N1091" s="40"/>
      <c r="O1091" s="40"/>
      <c r="P1091" s="40"/>
      <c r="Q1091" s="40"/>
      <c r="R1091" s="40"/>
      <c r="S1091" s="40"/>
      <c r="T1091" s="40"/>
    </row>
    <row r="1092" spans="1:20" ht="15">
      <c r="A1092" s="3">
        <f t="shared" si="30"/>
        <v>2044</v>
      </c>
      <c r="B1092" s="3">
        <f t="shared" si="8"/>
        <v>366</v>
      </c>
      <c r="C1092" s="39">
        <f t="shared" ref="C1092:J1092" si="37">AVERAGE(C377:C388)</f>
        <v>154.75825</v>
      </c>
      <c r="D1092" s="39">
        <f t="shared" si="37"/>
        <v>281.0162499999999</v>
      </c>
      <c r="E1092" s="39">
        <f t="shared" si="37"/>
        <v>780.7254999999999</v>
      </c>
      <c r="F1092" s="39">
        <f t="shared" si="37"/>
        <v>1216.5</v>
      </c>
      <c r="G1092" s="39">
        <f t="shared" si="37"/>
        <v>79.166666666666671</v>
      </c>
      <c r="H1092" s="41">
        <f t="shared" si="37"/>
        <v>600</v>
      </c>
      <c r="I1092" s="39">
        <f t="shared" si="37"/>
        <v>695</v>
      </c>
      <c r="J1092" s="39">
        <f t="shared" si="37"/>
        <v>33.333333333333336</v>
      </c>
      <c r="K1092" s="40"/>
      <c r="L1092" s="40"/>
      <c r="M1092" s="40"/>
      <c r="N1092" s="40"/>
      <c r="O1092" s="40"/>
      <c r="P1092" s="40"/>
      <c r="Q1092" s="40"/>
      <c r="R1092" s="40"/>
      <c r="S1092" s="40"/>
      <c r="T1092" s="40"/>
    </row>
    <row r="1093" spans="1:20" ht="15">
      <c r="A1093" s="3">
        <f t="shared" si="30"/>
        <v>2045</v>
      </c>
      <c r="B1093" s="3">
        <f t="shared" si="8"/>
        <v>365</v>
      </c>
      <c r="C1093" s="39">
        <f t="shared" ref="C1093:J1093" si="38">AVERAGE(C389:C400)</f>
        <v>154.75825</v>
      </c>
      <c r="D1093" s="39">
        <f t="shared" si="38"/>
        <v>281.0162499999999</v>
      </c>
      <c r="E1093" s="39">
        <f t="shared" si="38"/>
        <v>780.7254999999999</v>
      </c>
      <c r="F1093" s="39">
        <f t="shared" si="38"/>
        <v>1216.5</v>
      </c>
      <c r="G1093" s="39">
        <f t="shared" si="38"/>
        <v>79.166666666666671</v>
      </c>
      <c r="H1093" s="41">
        <f t="shared" si="38"/>
        <v>600</v>
      </c>
      <c r="I1093" s="39">
        <f t="shared" si="38"/>
        <v>695</v>
      </c>
      <c r="J1093" s="39">
        <f t="shared" si="38"/>
        <v>33.333333333333336</v>
      </c>
      <c r="K1093" s="40"/>
      <c r="L1093" s="40"/>
      <c r="M1093" s="40"/>
      <c r="N1093" s="40"/>
      <c r="O1093" s="40"/>
      <c r="P1093" s="40"/>
      <c r="Q1093" s="40"/>
      <c r="R1093" s="40"/>
      <c r="S1093" s="40"/>
      <c r="T1093" s="40"/>
    </row>
    <row r="1094" spans="1:20" ht="15">
      <c r="A1094" s="3">
        <f t="shared" si="30"/>
        <v>2046</v>
      </c>
      <c r="B1094" s="3">
        <f t="shared" ref="B1094:B1125" si="39">DATE(A1094+1,1,1)-DATE(A1094,1,1)</f>
        <v>365</v>
      </c>
      <c r="C1094" s="39">
        <f t="shared" ref="C1094:J1094" si="40">AVERAGE(C401:C412)</f>
        <v>154.75825</v>
      </c>
      <c r="D1094" s="39">
        <f t="shared" si="40"/>
        <v>281.0162499999999</v>
      </c>
      <c r="E1094" s="39">
        <f t="shared" si="40"/>
        <v>780.7254999999999</v>
      </c>
      <c r="F1094" s="39">
        <f t="shared" si="40"/>
        <v>1216.5</v>
      </c>
      <c r="G1094" s="39">
        <f t="shared" si="40"/>
        <v>79.166666666666671</v>
      </c>
      <c r="H1094" s="41">
        <f t="shared" si="40"/>
        <v>600</v>
      </c>
      <c r="I1094" s="39">
        <f t="shared" si="40"/>
        <v>695</v>
      </c>
      <c r="J1094" s="39">
        <f t="shared" si="40"/>
        <v>33.333333333333336</v>
      </c>
      <c r="K1094" s="40"/>
      <c r="L1094" s="40"/>
      <c r="M1094" s="40"/>
      <c r="N1094" s="40"/>
      <c r="O1094" s="40"/>
      <c r="P1094" s="40"/>
      <c r="Q1094" s="40"/>
      <c r="R1094" s="40"/>
      <c r="S1094" s="40"/>
      <c r="T1094" s="40"/>
    </row>
    <row r="1095" spans="1:20" ht="15">
      <c r="A1095" s="3">
        <f t="shared" si="30"/>
        <v>2047</v>
      </c>
      <c r="B1095" s="3">
        <f t="shared" si="39"/>
        <v>365</v>
      </c>
      <c r="C1095" s="39">
        <f t="shared" ref="C1095:J1095" si="41">AVERAGE(C413:C424)</f>
        <v>154.75825</v>
      </c>
      <c r="D1095" s="39">
        <f t="shared" si="41"/>
        <v>281.0162499999999</v>
      </c>
      <c r="E1095" s="39">
        <f t="shared" si="41"/>
        <v>780.7254999999999</v>
      </c>
      <c r="F1095" s="39">
        <f t="shared" si="41"/>
        <v>1216.5</v>
      </c>
      <c r="G1095" s="39">
        <f t="shared" si="41"/>
        <v>79.166666666666671</v>
      </c>
      <c r="H1095" s="41">
        <f t="shared" si="41"/>
        <v>600</v>
      </c>
      <c r="I1095" s="39">
        <f t="shared" si="41"/>
        <v>695</v>
      </c>
      <c r="J1095" s="39">
        <f t="shared" si="41"/>
        <v>33.333333333333336</v>
      </c>
      <c r="K1095" s="40"/>
      <c r="L1095" s="40"/>
      <c r="M1095" s="40"/>
      <c r="N1095" s="40"/>
      <c r="O1095" s="40"/>
      <c r="P1095" s="40"/>
      <c r="Q1095" s="40"/>
      <c r="R1095" s="40"/>
      <c r="S1095" s="40"/>
      <c r="T1095" s="40"/>
    </row>
    <row r="1096" spans="1:20" ht="15">
      <c r="A1096" s="3">
        <f t="shared" si="30"/>
        <v>2048</v>
      </c>
      <c r="B1096" s="3">
        <f t="shared" si="39"/>
        <v>366</v>
      </c>
      <c r="C1096" s="39">
        <f t="shared" ref="C1096:J1096" si="42">AVERAGE(C425:C436)</f>
        <v>154.75825</v>
      </c>
      <c r="D1096" s="39">
        <f t="shared" si="42"/>
        <v>281.0162499999999</v>
      </c>
      <c r="E1096" s="39">
        <f t="shared" si="42"/>
        <v>780.7254999999999</v>
      </c>
      <c r="F1096" s="39">
        <f t="shared" si="42"/>
        <v>1216.5</v>
      </c>
      <c r="G1096" s="39">
        <f t="shared" si="42"/>
        <v>79.166666666666671</v>
      </c>
      <c r="H1096" s="41">
        <f t="shared" si="42"/>
        <v>600</v>
      </c>
      <c r="I1096" s="39">
        <f t="shared" si="42"/>
        <v>695</v>
      </c>
      <c r="J1096" s="39">
        <f t="shared" si="42"/>
        <v>33.333333333333336</v>
      </c>
      <c r="K1096" s="40"/>
      <c r="L1096" s="40"/>
      <c r="M1096" s="40"/>
      <c r="N1096" s="40"/>
      <c r="O1096" s="40"/>
      <c r="P1096" s="40"/>
      <c r="Q1096" s="40"/>
      <c r="R1096" s="40"/>
      <c r="S1096" s="40"/>
      <c r="T1096" s="40"/>
    </row>
    <row r="1097" spans="1:20" ht="15">
      <c r="A1097" s="3">
        <f t="shared" si="30"/>
        <v>2049</v>
      </c>
      <c r="B1097" s="3">
        <f t="shared" si="39"/>
        <v>365</v>
      </c>
      <c r="C1097" s="39">
        <f t="shared" ref="C1097:J1097" si="43">AVERAGE(C437:C448)</f>
        <v>154.75825</v>
      </c>
      <c r="D1097" s="39">
        <f t="shared" si="43"/>
        <v>281.0162499999999</v>
      </c>
      <c r="E1097" s="39">
        <f t="shared" si="43"/>
        <v>780.7254999999999</v>
      </c>
      <c r="F1097" s="39">
        <f t="shared" si="43"/>
        <v>1216.5</v>
      </c>
      <c r="G1097" s="39">
        <f t="shared" si="43"/>
        <v>79.166666666666671</v>
      </c>
      <c r="H1097" s="41">
        <f t="shared" si="43"/>
        <v>600</v>
      </c>
      <c r="I1097" s="39">
        <f t="shared" si="43"/>
        <v>695</v>
      </c>
      <c r="J1097" s="39">
        <f t="shared" si="43"/>
        <v>33.333333333333336</v>
      </c>
      <c r="K1097" s="40"/>
      <c r="L1097" s="40"/>
      <c r="M1097" s="40"/>
      <c r="N1097" s="40"/>
      <c r="O1097" s="40"/>
      <c r="P1097" s="40"/>
      <c r="Q1097" s="40"/>
      <c r="R1097" s="40"/>
      <c r="S1097" s="40"/>
      <c r="T1097" s="40"/>
    </row>
    <row r="1098" spans="1:20" ht="15">
      <c r="A1098" s="3">
        <f t="shared" si="30"/>
        <v>2050</v>
      </c>
      <c r="B1098" s="3">
        <f t="shared" si="39"/>
        <v>365</v>
      </c>
      <c r="C1098" s="39">
        <f t="shared" ref="C1098:J1098" si="44">AVERAGE(C449:C460)</f>
        <v>154.75825</v>
      </c>
      <c r="D1098" s="39">
        <f t="shared" si="44"/>
        <v>281.0162499999999</v>
      </c>
      <c r="E1098" s="39">
        <f t="shared" si="44"/>
        <v>780.7254999999999</v>
      </c>
      <c r="F1098" s="39">
        <f t="shared" si="44"/>
        <v>1216.5</v>
      </c>
      <c r="G1098" s="39">
        <f t="shared" si="44"/>
        <v>79.166666666666671</v>
      </c>
      <c r="H1098" s="41">
        <f t="shared" si="44"/>
        <v>600</v>
      </c>
      <c r="I1098" s="39">
        <f t="shared" si="44"/>
        <v>695</v>
      </c>
      <c r="J1098" s="39">
        <f t="shared" si="44"/>
        <v>33.333333333333336</v>
      </c>
      <c r="K1098" s="40"/>
      <c r="L1098" s="40"/>
      <c r="M1098" s="40"/>
      <c r="N1098" s="40"/>
      <c r="O1098" s="40"/>
      <c r="P1098" s="40"/>
      <c r="Q1098" s="40"/>
      <c r="R1098" s="40"/>
      <c r="S1098" s="40"/>
      <c r="T1098" s="40"/>
    </row>
    <row r="1099" spans="1:20" ht="15">
      <c r="A1099" s="3">
        <f t="shared" si="30"/>
        <v>2051</v>
      </c>
      <c r="B1099" s="3">
        <f t="shared" si="39"/>
        <v>365</v>
      </c>
      <c r="C1099" s="39">
        <f t="shared" ref="C1099:J1099" si="45">AVERAGE(C461:C472)</f>
        <v>154.75825</v>
      </c>
      <c r="D1099" s="39">
        <f t="shared" si="45"/>
        <v>281.0162499999999</v>
      </c>
      <c r="E1099" s="39">
        <f t="shared" si="45"/>
        <v>780.7254999999999</v>
      </c>
      <c r="F1099" s="39">
        <f t="shared" si="45"/>
        <v>1216.5</v>
      </c>
      <c r="G1099" s="39">
        <f t="shared" si="45"/>
        <v>79.166666666666671</v>
      </c>
      <c r="H1099" s="41">
        <f t="shared" si="45"/>
        <v>600</v>
      </c>
      <c r="I1099" s="39">
        <f t="shared" si="45"/>
        <v>695</v>
      </c>
      <c r="J1099" s="39">
        <f t="shared" si="45"/>
        <v>33.333333333333336</v>
      </c>
      <c r="K1099" s="40"/>
      <c r="L1099" s="40"/>
      <c r="M1099" s="40"/>
      <c r="N1099" s="40"/>
      <c r="O1099" s="40"/>
      <c r="P1099" s="40"/>
      <c r="Q1099" s="40"/>
      <c r="R1099" s="40"/>
      <c r="S1099" s="40"/>
      <c r="T1099" s="40"/>
    </row>
    <row r="1100" spans="1:20" ht="15">
      <c r="A1100" s="3">
        <f t="shared" si="30"/>
        <v>2052</v>
      </c>
      <c r="B1100" s="3">
        <f t="shared" si="39"/>
        <v>366</v>
      </c>
      <c r="C1100" s="39">
        <f t="shared" ref="C1100:J1100" si="46">AVERAGE(C473:C484)</f>
        <v>154.75825</v>
      </c>
      <c r="D1100" s="39">
        <f t="shared" si="46"/>
        <v>281.0162499999999</v>
      </c>
      <c r="E1100" s="39">
        <f t="shared" si="46"/>
        <v>780.7254999999999</v>
      </c>
      <c r="F1100" s="39">
        <f t="shared" si="46"/>
        <v>1216.5</v>
      </c>
      <c r="G1100" s="39">
        <f t="shared" si="46"/>
        <v>79.166666666666671</v>
      </c>
      <c r="H1100" s="41">
        <f t="shared" si="46"/>
        <v>600</v>
      </c>
      <c r="I1100" s="39">
        <f t="shared" si="46"/>
        <v>695</v>
      </c>
      <c r="J1100" s="39">
        <f t="shared" si="46"/>
        <v>33.333333333333336</v>
      </c>
      <c r="K1100" s="40"/>
      <c r="L1100" s="40"/>
      <c r="M1100" s="40"/>
      <c r="N1100" s="40"/>
      <c r="O1100" s="40"/>
      <c r="P1100" s="40"/>
      <c r="Q1100" s="40"/>
      <c r="R1100" s="40"/>
      <c r="S1100" s="40"/>
      <c r="T1100" s="40"/>
    </row>
    <row r="1101" spans="1:20" ht="15">
      <c r="A1101" s="3">
        <f t="shared" si="30"/>
        <v>2053</v>
      </c>
      <c r="B1101" s="3">
        <f t="shared" si="39"/>
        <v>365</v>
      </c>
      <c r="C1101" s="39">
        <f t="shared" ref="C1101:J1101" si="47">AVERAGE(C485:C496)</f>
        <v>154.75825</v>
      </c>
      <c r="D1101" s="39">
        <f t="shared" si="47"/>
        <v>281.0162499999999</v>
      </c>
      <c r="E1101" s="39">
        <f t="shared" si="47"/>
        <v>780.7254999999999</v>
      </c>
      <c r="F1101" s="39">
        <f t="shared" si="47"/>
        <v>1216.5</v>
      </c>
      <c r="G1101" s="39">
        <f t="shared" si="47"/>
        <v>79.166666666666671</v>
      </c>
      <c r="H1101" s="41">
        <f t="shared" si="47"/>
        <v>600</v>
      </c>
      <c r="I1101" s="39">
        <f t="shared" si="47"/>
        <v>695</v>
      </c>
      <c r="J1101" s="39">
        <f t="shared" si="47"/>
        <v>33.333333333333336</v>
      </c>
      <c r="K1101" s="40"/>
      <c r="L1101" s="40"/>
      <c r="M1101" s="40"/>
      <c r="N1101" s="40"/>
      <c r="O1101" s="40"/>
      <c r="P1101" s="40"/>
      <c r="Q1101" s="40"/>
      <c r="R1101" s="40"/>
      <c r="S1101" s="40"/>
      <c r="T1101" s="40"/>
    </row>
    <row r="1102" spans="1:20" ht="15">
      <c r="A1102" s="3">
        <f t="shared" si="30"/>
        <v>2054</v>
      </c>
      <c r="B1102" s="3">
        <f t="shared" si="39"/>
        <v>365</v>
      </c>
      <c r="C1102" s="39">
        <f t="shared" ref="C1102:J1109" si="48">AVERAGE(C497:C508)</f>
        <v>154.75825</v>
      </c>
      <c r="D1102" s="39">
        <f t="shared" si="48"/>
        <v>281.0162499999999</v>
      </c>
      <c r="E1102" s="39">
        <f t="shared" si="48"/>
        <v>780.7254999999999</v>
      </c>
      <c r="F1102" s="39">
        <f t="shared" si="48"/>
        <v>1216.5</v>
      </c>
      <c r="G1102" s="39">
        <f t="shared" si="48"/>
        <v>79.166666666666671</v>
      </c>
      <c r="H1102" s="41">
        <f t="shared" si="48"/>
        <v>600</v>
      </c>
      <c r="I1102" s="39">
        <f t="shared" si="48"/>
        <v>695</v>
      </c>
      <c r="J1102" s="39">
        <f t="shared" si="48"/>
        <v>33.333333333333336</v>
      </c>
      <c r="K1102" s="40"/>
      <c r="L1102" s="40"/>
      <c r="M1102" s="40"/>
      <c r="N1102" s="40"/>
      <c r="O1102" s="40"/>
      <c r="P1102" s="40"/>
      <c r="Q1102" s="40"/>
      <c r="R1102" s="40"/>
      <c r="S1102" s="40"/>
      <c r="T1102" s="40"/>
    </row>
    <row r="1103" spans="1:20" ht="15">
      <c r="A1103" s="3">
        <f t="shared" si="30"/>
        <v>2055</v>
      </c>
      <c r="B1103" s="3">
        <f t="shared" si="39"/>
        <v>365</v>
      </c>
      <c r="C1103" s="39">
        <f t="shared" si="48"/>
        <v>154.75825</v>
      </c>
      <c r="D1103" s="39">
        <f t="shared" si="48"/>
        <v>281.0162499999999</v>
      </c>
      <c r="E1103" s="39">
        <f t="shared" si="48"/>
        <v>780.7254999999999</v>
      </c>
      <c r="F1103" s="39">
        <f t="shared" si="48"/>
        <v>1216.5</v>
      </c>
      <c r="G1103" s="39">
        <f t="shared" si="48"/>
        <v>79.166666666666671</v>
      </c>
      <c r="H1103" s="41">
        <f t="shared" si="48"/>
        <v>600</v>
      </c>
      <c r="I1103" s="39">
        <f t="shared" si="48"/>
        <v>695</v>
      </c>
      <c r="J1103" s="39">
        <f t="shared" si="48"/>
        <v>33.333333333333336</v>
      </c>
      <c r="K1103" s="40"/>
      <c r="L1103" s="40"/>
      <c r="M1103" s="40"/>
      <c r="N1103" s="40"/>
      <c r="O1103" s="40"/>
      <c r="P1103" s="40"/>
      <c r="Q1103" s="40"/>
      <c r="R1103" s="40"/>
      <c r="S1103" s="40"/>
      <c r="T1103" s="40"/>
    </row>
    <row r="1104" spans="1:20" ht="15">
      <c r="A1104" s="3">
        <f t="shared" si="30"/>
        <v>2056</v>
      </c>
      <c r="B1104" s="3">
        <f t="shared" si="39"/>
        <v>366</v>
      </c>
      <c r="C1104" s="39">
        <f t="shared" si="48"/>
        <v>154.75824999999998</v>
      </c>
      <c r="D1104" s="39">
        <f t="shared" si="48"/>
        <v>281.0162499999999</v>
      </c>
      <c r="E1104" s="39">
        <f t="shared" si="48"/>
        <v>780.7254999999999</v>
      </c>
      <c r="F1104" s="39">
        <f t="shared" si="48"/>
        <v>1216.5</v>
      </c>
      <c r="G1104" s="39">
        <f t="shared" si="48"/>
        <v>79.166666666666671</v>
      </c>
      <c r="H1104" s="41">
        <f t="shared" si="48"/>
        <v>600</v>
      </c>
      <c r="I1104" s="39">
        <f t="shared" si="48"/>
        <v>695</v>
      </c>
      <c r="J1104" s="39">
        <f t="shared" si="48"/>
        <v>33.333333333333336</v>
      </c>
      <c r="K1104" s="40"/>
      <c r="L1104" s="40"/>
      <c r="M1104" s="40"/>
      <c r="N1104" s="40"/>
      <c r="O1104" s="40"/>
      <c r="P1104" s="40"/>
      <c r="Q1104" s="40"/>
      <c r="R1104" s="40"/>
      <c r="S1104" s="40"/>
      <c r="T1104" s="40"/>
    </row>
    <row r="1105" spans="1:20" ht="15">
      <c r="A1105" s="3">
        <f t="shared" si="30"/>
        <v>2057</v>
      </c>
      <c r="B1105" s="3">
        <f t="shared" si="39"/>
        <v>365</v>
      </c>
      <c r="C1105" s="39">
        <f t="shared" si="48"/>
        <v>154.75825</v>
      </c>
      <c r="D1105" s="39">
        <f t="shared" si="48"/>
        <v>281.0162499999999</v>
      </c>
      <c r="E1105" s="39">
        <f t="shared" si="48"/>
        <v>780.72550000000001</v>
      </c>
      <c r="F1105" s="39">
        <f t="shared" si="48"/>
        <v>1216.5</v>
      </c>
      <c r="G1105" s="39">
        <f t="shared" si="48"/>
        <v>79.166666666666671</v>
      </c>
      <c r="H1105" s="41">
        <f t="shared" si="48"/>
        <v>600</v>
      </c>
      <c r="I1105" s="39">
        <f t="shared" si="48"/>
        <v>695</v>
      </c>
      <c r="J1105" s="39">
        <f t="shared" si="48"/>
        <v>33.333333333333336</v>
      </c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</row>
    <row r="1106" spans="1:20" ht="15">
      <c r="A1106" s="3">
        <f t="shared" si="30"/>
        <v>2058</v>
      </c>
      <c r="B1106" s="3">
        <f t="shared" si="39"/>
        <v>365</v>
      </c>
      <c r="C1106" s="39">
        <f t="shared" si="48"/>
        <v>154.75824999999998</v>
      </c>
      <c r="D1106" s="39">
        <f t="shared" si="48"/>
        <v>281.01624999999996</v>
      </c>
      <c r="E1106" s="39">
        <f t="shared" si="48"/>
        <v>780.72550000000001</v>
      </c>
      <c r="F1106" s="39">
        <f t="shared" si="48"/>
        <v>1216.5</v>
      </c>
      <c r="G1106" s="39">
        <f t="shared" si="48"/>
        <v>79.166666666666671</v>
      </c>
      <c r="H1106" s="41">
        <f t="shared" si="48"/>
        <v>600</v>
      </c>
      <c r="I1106" s="39">
        <f t="shared" si="48"/>
        <v>695</v>
      </c>
      <c r="J1106" s="39">
        <f t="shared" si="48"/>
        <v>33.333333333333336</v>
      </c>
      <c r="K1106" s="40"/>
      <c r="L1106" s="40"/>
      <c r="M1106" s="40"/>
      <c r="N1106" s="40"/>
      <c r="O1106" s="40"/>
      <c r="P1106" s="40"/>
      <c r="Q1106" s="40"/>
      <c r="R1106" s="40"/>
      <c r="S1106" s="40"/>
      <c r="T1106" s="40"/>
    </row>
    <row r="1107" spans="1:20" ht="15">
      <c r="A1107" s="3">
        <f t="shared" si="30"/>
        <v>2059</v>
      </c>
      <c r="B1107" s="3">
        <f t="shared" si="39"/>
        <v>365</v>
      </c>
      <c r="C1107" s="39">
        <f t="shared" si="48"/>
        <v>154.75824999999998</v>
      </c>
      <c r="D1107" s="39">
        <f t="shared" si="48"/>
        <v>281.01624999999996</v>
      </c>
      <c r="E1107" s="39">
        <f t="shared" si="48"/>
        <v>780.72550000000012</v>
      </c>
      <c r="F1107" s="39">
        <f t="shared" si="48"/>
        <v>1216.5</v>
      </c>
      <c r="G1107" s="39">
        <f t="shared" si="48"/>
        <v>79.166666666666671</v>
      </c>
      <c r="H1107" s="41">
        <f t="shared" si="48"/>
        <v>600</v>
      </c>
      <c r="I1107" s="39">
        <f t="shared" si="48"/>
        <v>695</v>
      </c>
      <c r="J1107" s="39">
        <f t="shared" si="48"/>
        <v>33.333333333333336</v>
      </c>
      <c r="K1107" s="40"/>
      <c r="L1107" s="40"/>
      <c r="M1107" s="40"/>
      <c r="N1107" s="40"/>
      <c r="O1107" s="40"/>
      <c r="P1107" s="40"/>
      <c r="Q1107" s="40"/>
      <c r="R1107" s="40"/>
      <c r="S1107" s="40"/>
      <c r="T1107" s="40"/>
    </row>
    <row r="1108" spans="1:20" ht="15">
      <c r="A1108" s="3">
        <f t="shared" si="30"/>
        <v>2060</v>
      </c>
      <c r="B1108" s="3">
        <f t="shared" si="39"/>
        <v>366</v>
      </c>
      <c r="C1108" s="39">
        <f t="shared" si="48"/>
        <v>154.75824999999998</v>
      </c>
      <c r="D1108" s="39">
        <f t="shared" si="48"/>
        <v>281.01624999999996</v>
      </c>
      <c r="E1108" s="39">
        <f t="shared" si="48"/>
        <v>780.72550000000012</v>
      </c>
      <c r="F1108" s="39">
        <f t="shared" si="48"/>
        <v>1216.5</v>
      </c>
      <c r="G1108" s="39">
        <f t="shared" si="48"/>
        <v>79.166666666666671</v>
      </c>
      <c r="H1108" s="41">
        <f t="shared" si="48"/>
        <v>600</v>
      </c>
      <c r="I1108" s="39">
        <f t="shared" si="48"/>
        <v>695</v>
      </c>
      <c r="J1108" s="39">
        <f t="shared" si="48"/>
        <v>33.333333333333336</v>
      </c>
      <c r="K1108" s="40"/>
      <c r="L1108" s="40"/>
      <c r="M1108" s="40"/>
      <c r="N1108" s="40"/>
      <c r="O1108" s="40"/>
      <c r="P1108" s="40"/>
      <c r="Q1108" s="40"/>
      <c r="R1108" s="40"/>
      <c r="S1108" s="40"/>
      <c r="T1108" s="40"/>
    </row>
    <row r="1109" spans="1:20" ht="15">
      <c r="A1109" s="3">
        <f t="shared" si="30"/>
        <v>2061</v>
      </c>
      <c r="B1109" s="3">
        <f t="shared" si="39"/>
        <v>365</v>
      </c>
      <c r="C1109" s="39">
        <f t="shared" si="48"/>
        <v>154.75825</v>
      </c>
      <c r="D1109" s="39">
        <f t="shared" si="48"/>
        <v>281.01624999999996</v>
      </c>
      <c r="E1109" s="39">
        <f t="shared" si="48"/>
        <v>780.72550000000001</v>
      </c>
      <c r="F1109" s="39">
        <f t="shared" si="48"/>
        <v>1216.5</v>
      </c>
      <c r="G1109" s="39">
        <f t="shared" si="48"/>
        <v>79.166666666666671</v>
      </c>
      <c r="H1109" s="41">
        <f t="shared" si="48"/>
        <v>600</v>
      </c>
      <c r="I1109" s="39">
        <f t="shared" si="48"/>
        <v>695</v>
      </c>
      <c r="J1109" s="39">
        <f t="shared" si="48"/>
        <v>33.333333333333336</v>
      </c>
      <c r="K1109" s="40"/>
      <c r="L1109" s="40"/>
      <c r="M1109" s="40"/>
      <c r="N1109" s="40"/>
      <c r="O1109" s="40"/>
      <c r="P1109" s="40"/>
      <c r="Q1109" s="40"/>
      <c r="R1109" s="40"/>
      <c r="S1109" s="40"/>
      <c r="T1109" s="40"/>
    </row>
    <row r="1110" spans="1:20" ht="15">
      <c r="A1110" s="3">
        <f t="shared" si="30"/>
        <v>2062</v>
      </c>
      <c r="B1110" s="3">
        <f t="shared" si="39"/>
        <v>365</v>
      </c>
      <c r="C1110" s="39">
        <f t="shared" ref="C1110:J1119" ca="1" si="49">AVERAGE(OFFSET(C$593,($A1110-$A$1110)*12,0,12,1))</f>
        <v>154.75825</v>
      </c>
      <c r="D1110" s="39">
        <f t="shared" ca="1" si="49"/>
        <v>281.0162499999999</v>
      </c>
      <c r="E1110" s="39">
        <f t="shared" ca="1" si="49"/>
        <v>780.7254999999999</v>
      </c>
      <c r="F1110" s="39">
        <f t="shared" ca="1" si="49"/>
        <v>1216.5</v>
      </c>
      <c r="G1110" s="39">
        <f t="shared" ca="1" si="49"/>
        <v>79.166666666666671</v>
      </c>
      <c r="H1110" s="39">
        <f t="shared" ca="1" si="49"/>
        <v>600</v>
      </c>
      <c r="I1110" s="39">
        <f t="shared" ca="1" si="49"/>
        <v>695</v>
      </c>
      <c r="J1110" s="39">
        <f t="shared" ca="1" si="49"/>
        <v>33.333333333333336</v>
      </c>
      <c r="K1110" s="40"/>
      <c r="L1110" s="40"/>
      <c r="M1110" s="40"/>
      <c r="N1110" s="40"/>
      <c r="O1110" s="40"/>
      <c r="P1110" s="40"/>
      <c r="Q1110" s="40"/>
      <c r="R1110" s="40"/>
      <c r="S1110" s="40"/>
      <c r="T1110" s="40"/>
    </row>
    <row r="1111" spans="1:20" ht="15">
      <c r="A1111" s="3">
        <f t="shared" si="30"/>
        <v>2063</v>
      </c>
      <c r="B1111" s="3">
        <f t="shared" si="39"/>
        <v>365</v>
      </c>
      <c r="C1111" s="39">
        <f t="shared" ca="1" si="49"/>
        <v>154.75825</v>
      </c>
      <c r="D1111" s="39">
        <f t="shared" ca="1" si="49"/>
        <v>281.0162499999999</v>
      </c>
      <c r="E1111" s="39">
        <f t="shared" ca="1" si="49"/>
        <v>780.7254999999999</v>
      </c>
      <c r="F1111" s="39">
        <f t="shared" ca="1" si="49"/>
        <v>1216.5</v>
      </c>
      <c r="G1111" s="39">
        <f t="shared" ca="1" si="49"/>
        <v>79.166666666666671</v>
      </c>
      <c r="H1111" s="39">
        <f t="shared" ca="1" si="49"/>
        <v>600</v>
      </c>
      <c r="I1111" s="39">
        <f t="shared" ca="1" si="49"/>
        <v>695</v>
      </c>
      <c r="J1111" s="39">
        <f t="shared" ca="1" si="49"/>
        <v>33.333333333333336</v>
      </c>
      <c r="K1111" s="40"/>
      <c r="L1111" s="40"/>
      <c r="M1111" s="40"/>
      <c r="N1111" s="40"/>
      <c r="O1111" s="40"/>
      <c r="P1111" s="40"/>
      <c r="Q1111" s="40"/>
      <c r="R1111" s="40"/>
      <c r="S1111" s="40"/>
      <c r="T1111" s="40"/>
    </row>
    <row r="1112" spans="1:20" ht="15">
      <c r="A1112" s="3">
        <f t="shared" si="30"/>
        <v>2064</v>
      </c>
      <c r="B1112" s="3">
        <f t="shared" si="39"/>
        <v>366</v>
      </c>
      <c r="C1112" s="39">
        <f t="shared" ca="1" si="49"/>
        <v>154.75825</v>
      </c>
      <c r="D1112" s="39">
        <f t="shared" ca="1" si="49"/>
        <v>281.0162499999999</v>
      </c>
      <c r="E1112" s="39">
        <f t="shared" ca="1" si="49"/>
        <v>780.7254999999999</v>
      </c>
      <c r="F1112" s="39">
        <f t="shared" ca="1" si="49"/>
        <v>1216.5</v>
      </c>
      <c r="G1112" s="39">
        <f t="shared" ca="1" si="49"/>
        <v>79.166666666666671</v>
      </c>
      <c r="H1112" s="39">
        <f t="shared" ca="1" si="49"/>
        <v>600</v>
      </c>
      <c r="I1112" s="39">
        <f t="shared" ca="1" si="49"/>
        <v>695</v>
      </c>
      <c r="J1112" s="39">
        <f t="shared" ca="1" si="49"/>
        <v>33.333333333333336</v>
      </c>
      <c r="K1112" s="40"/>
      <c r="L1112" s="40"/>
      <c r="M1112" s="40"/>
      <c r="N1112" s="40"/>
      <c r="O1112" s="40"/>
      <c r="P1112" s="40"/>
      <c r="Q1112" s="40"/>
      <c r="R1112" s="40"/>
      <c r="S1112" s="40"/>
      <c r="T1112" s="40"/>
    </row>
    <row r="1113" spans="1:20" ht="15">
      <c r="A1113" s="3">
        <f t="shared" si="30"/>
        <v>2065</v>
      </c>
      <c r="B1113" s="3">
        <f t="shared" si="39"/>
        <v>365</v>
      </c>
      <c r="C1113" s="39">
        <f t="shared" ca="1" si="49"/>
        <v>154.75825</v>
      </c>
      <c r="D1113" s="39">
        <f t="shared" ca="1" si="49"/>
        <v>281.0162499999999</v>
      </c>
      <c r="E1113" s="39">
        <f t="shared" ca="1" si="49"/>
        <v>780.7254999999999</v>
      </c>
      <c r="F1113" s="39">
        <f t="shared" ca="1" si="49"/>
        <v>1216.5</v>
      </c>
      <c r="G1113" s="39">
        <f t="shared" ca="1" si="49"/>
        <v>79.166666666666671</v>
      </c>
      <c r="H1113" s="39">
        <f t="shared" ca="1" si="49"/>
        <v>600</v>
      </c>
      <c r="I1113" s="39">
        <f t="shared" ca="1" si="49"/>
        <v>695</v>
      </c>
      <c r="J1113" s="39">
        <f t="shared" ca="1" si="49"/>
        <v>33.333333333333336</v>
      </c>
      <c r="K1113" s="40"/>
      <c r="L1113" s="40"/>
      <c r="M1113" s="40"/>
      <c r="N1113" s="40"/>
      <c r="O1113" s="40"/>
      <c r="P1113" s="40"/>
      <c r="Q1113" s="40"/>
      <c r="R1113" s="40"/>
      <c r="S1113" s="40"/>
      <c r="T1113" s="40"/>
    </row>
    <row r="1114" spans="1:20" ht="15">
      <c r="A1114" s="3">
        <f t="shared" si="30"/>
        <v>2066</v>
      </c>
      <c r="B1114" s="3">
        <f t="shared" si="39"/>
        <v>365</v>
      </c>
      <c r="C1114" s="39">
        <f t="shared" ca="1" si="49"/>
        <v>154.75825</v>
      </c>
      <c r="D1114" s="39">
        <f t="shared" ca="1" si="49"/>
        <v>281.0162499999999</v>
      </c>
      <c r="E1114" s="39">
        <f t="shared" ca="1" si="49"/>
        <v>780.7254999999999</v>
      </c>
      <c r="F1114" s="39">
        <f t="shared" ca="1" si="49"/>
        <v>1216.5</v>
      </c>
      <c r="G1114" s="39">
        <f t="shared" ca="1" si="49"/>
        <v>79.166666666666671</v>
      </c>
      <c r="H1114" s="39">
        <f t="shared" ca="1" si="49"/>
        <v>600</v>
      </c>
      <c r="I1114" s="39">
        <f t="shared" ca="1" si="49"/>
        <v>695</v>
      </c>
      <c r="J1114" s="39">
        <f t="shared" ca="1" si="49"/>
        <v>33.333333333333336</v>
      </c>
      <c r="K1114" s="40"/>
      <c r="L1114" s="40"/>
      <c r="M1114" s="40"/>
      <c r="N1114" s="40"/>
      <c r="O1114" s="40"/>
      <c r="P1114" s="40"/>
      <c r="Q1114" s="40"/>
      <c r="R1114" s="40"/>
      <c r="S1114" s="40"/>
      <c r="T1114" s="40"/>
    </row>
    <row r="1115" spans="1:20" ht="15">
      <c r="A1115" s="3">
        <f t="shared" si="30"/>
        <v>2067</v>
      </c>
      <c r="B1115" s="3">
        <f t="shared" si="39"/>
        <v>365</v>
      </c>
      <c r="C1115" s="39">
        <f t="shared" ca="1" si="49"/>
        <v>154.75825</v>
      </c>
      <c r="D1115" s="39">
        <f t="shared" ca="1" si="49"/>
        <v>281.0162499999999</v>
      </c>
      <c r="E1115" s="39">
        <f t="shared" ca="1" si="49"/>
        <v>780.7254999999999</v>
      </c>
      <c r="F1115" s="39">
        <f t="shared" ca="1" si="49"/>
        <v>1216.5</v>
      </c>
      <c r="G1115" s="39">
        <f t="shared" ca="1" si="49"/>
        <v>79.166666666666671</v>
      </c>
      <c r="H1115" s="39">
        <f t="shared" ca="1" si="49"/>
        <v>600</v>
      </c>
      <c r="I1115" s="39">
        <f t="shared" ca="1" si="49"/>
        <v>695</v>
      </c>
      <c r="J1115" s="39">
        <f t="shared" ca="1" si="49"/>
        <v>33.333333333333336</v>
      </c>
      <c r="K1115" s="40"/>
      <c r="L1115" s="40"/>
      <c r="M1115" s="40"/>
      <c r="N1115" s="40"/>
      <c r="O1115" s="40"/>
      <c r="P1115" s="40"/>
      <c r="Q1115" s="40"/>
      <c r="R1115" s="40"/>
      <c r="S1115" s="40"/>
      <c r="T1115" s="40"/>
    </row>
    <row r="1116" spans="1:20" ht="15">
      <c r="A1116" s="3">
        <f t="shared" si="30"/>
        <v>2068</v>
      </c>
      <c r="B1116" s="3">
        <f t="shared" si="39"/>
        <v>366</v>
      </c>
      <c r="C1116" s="39">
        <f t="shared" ca="1" si="49"/>
        <v>154.75825</v>
      </c>
      <c r="D1116" s="39">
        <f t="shared" ca="1" si="49"/>
        <v>281.0162499999999</v>
      </c>
      <c r="E1116" s="39">
        <f t="shared" ca="1" si="49"/>
        <v>780.7254999999999</v>
      </c>
      <c r="F1116" s="39">
        <f t="shared" ca="1" si="49"/>
        <v>1216.5</v>
      </c>
      <c r="G1116" s="39">
        <f t="shared" ca="1" si="49"/>
        <v>79.166666666666671</v>
      </c>
      <c r="H1116" s="39">
        <f t="shared" ca="1" si="49"/>
        <v>600</v>
      </c>
      <c r="I1116" s="39">
        <f t="shared" ca="1" si="49"/>
        <v>695</v>
      </c>
      <c r="J1116" s="39">
        <f t="shared" ca="1" si="49"/>
        <v>33.333333333333336</v>
      </c>
      <c r="K1116" s="40"/>
      <c r="L1116" s="40"/>
      <c r="M1116" s="40"/>
      <c r="N1116" s="40"/>
      <c r="O1116" s="40"/>
      <c r="P1116" s="40"/>
      <c r="Q1116" s="40"/>
      <c r="R1116" s="40"/>
      <c r="S1116" s="40"/>
      <c r="T1116" s="40"/>
    </row>
    <row r="1117" spans="1:20" ht="15">
      <c r="A1117" s="3">
        <f t="shared" si="30"/>
        <v>2069</v>
      </c>
      <c r="B1117" s="3">
        <f t="shared" si="39"/>
        <v>365</v>
      </c>
      <c r="C1117" s="39">
        <f t="shared" ca="1" si="49"/>
        <v>154.75825</v>
      </c>
      <c r="D1117" s="39">
        <f t="shared" ca="1" si="49"/>
        <v>281.0162499999999</v>
      </c>
      <c r="E1117" s="39">
        <f t="shared" ca="1" si="49"/>
        <v>780.7254999999999</v>
      </c>
      <c r="F1117" s="39">
        <f t="shared" ca="1" si="49"/>
        <v>1216.5</v>
      </c>
      <c r="G1117" s="39">
        <f t="shared" ca="1" si="49"/>
        <v>79.166666666666671</v>
      </c>
      <c r="H1117" s="39">
        <f t="shared" ca="1" si="49"/>
        <v>600</v>
      </c>
      <c r="I1117" s="39">
        <f t="shared" ca="1" si="49"/>
        <v>695</v>
      </c>
      <c r="J1117" s="39">
        <f t="shared" ca="1" si="49"/>
        <v>33.333333333333336</v>
      </c>
      <c r="K1117" s="40"/>
      <c r="L1117" s="40"/>
      <c r="M1117" s="40"/>
      <c r="N1117" s="40"/>
      <c r="O1117" s="40"/>
      <c r="P1117" s="40"/>
      <c r="Q1117" s="40"/>
      <c r="R1117" s="40"/>
      <c r="S1117" s="40"/>
      <c r="T1117" s="40"/>
    </row>
    <row r="1118" spans="1:20" ht="15">
      <c r="A1118" s="3">
        <f t="shared" ref="A1118:A1148" si="50">A1117+1</f>
        <v>2070</v>
      </c>
      <c r="B1118" s="3">
        <f t="shared" si="39"/>
        <v>365</v>
      </c>
      <c r="C1118" s="39">
        <f t="shared" ca="1" si="49"/>
        <v>154.75825</v>
      </c>
      <c r="D1118" s="39">
        <f t="shared" ca="1" si="49"/>
        <v>281.0162499999999</v>
      </c>
      <c r="E1118" s="39">
        <f t="shared" ca="1" si="49"/>
        <v>780.7254999999999</v>
      </c>
      <c r="F1118" s="39">
        <f t="shared" ca="1" si="49"/>
        <v>1216.5</v>
      </c>
      <c r="G1118" s="39">
        <f t="shared" ca="1" si="49"/>
        <v>79.166666666666671</v>
      </c>
      <c r="H1118" s="39">
        <f t="shared" ca="1" si="49"/>
        <v>600</v>
      </c>
      <c r="I1118" s="39">
        <f t="shared" ca="1" si="49"/>
        <v>695</v>
      </c>
      <c r="J1118" s="39">
        <f t="shared" ca="1" si="49"/>
        <v>33.333333333333336</v>
      </c>
      <c r="K1118" s="40"/>
      <c r="L1118" s="40"/>
      <c r="M1118" s="40"/>
      <c r="N1118" s="40"/>
      <c r="O1118" s="40"/>
      <c r="P1118" s="40"/>
      <c r="Q1118" s="40"/>
      <c r="R1118" s="40"/>
      <c r="S1118" s="40"/>
      <c r="T1118" s="40"/>
    </row>
    <row r="1119" spans="1:20" ht="15">
      <c r="A1119" s="3">
        <f t="shared" si="50"/>
        <v>2071</v>
      </c>
      <c r="B1119" s="3">
        <f t="shared" si="39"/>
        <v>365</v>
      </c>
      <c r="C1119" s="39">
        <f t="shared" ca="1" si="49"/>
        <v>154.75825</v>
      </c>
      <c r="D1119" s="39">
        <f t="shared" ca="1" si="49"/>
        <v>281.0162499999999</v>
      </c>
      <c r="E1119" s="39">
        <f t="shared" ca="1" si="49"/>
        <v>780.7254999999999</v>
      </c>
      <c r="F1119" s="39">
        <f t="shared" ca="1" si="49"/>
        <v>1216.5</v>
      </c>
      <c r="G1119" s="39">
        <f t="shared" ca="1" si="49"/>
        <v>79.166666666666671</v>
      </c>
      <c r="H1119" s="39">
        <f t="shared" ca="1" si="49"/>
        <v>600</v>
      </c>
      <c r="I1119" s="39">
        <f t="shared" ca="1" si="49"/>
        <v>695</v>
      </c>
      <c r="J1119" s="39">
        <f t="shared" ca="1" si="49"/>
        <v>33.333333333333336</v>
      </c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</row>
    <row r="1120" spans="1:20" ht="15">
      <c r="A1120" s="3">
        <f t="shared" si="50"/>
        <v>2072</v>
      </c>
      <c r="B1120" s="3">
        <f t="shared" si="39"/>
        <v>366</v>
      </c>
      <c r="C1120" s="39">
        <f t="shared" ref="C1120:J1129" ca="1" si="51">AVERAGE(OFFSET(C$593,($A1120-$A$1110)*12,0,12,1))</f>
        <v>154.75825</v>
      </c>
      <c r="D1120" s="39">
        <f t="shared" ca="1" si="51"/>
        <v>281.0162499999999</v>
      </c>
      <c r="E1120" s="39">
        <f t="shared" ca="1" si="51"/>
        <v>780.7254999999999</v>
      </c>
      <c r="F1120" s="39">
        <f t="shared" ca="1" si="51"/>
        <v>1216.5</v>
      </c>
      <c r="G1120" s="39">
        <f t="shared" ca="1" si="51"/>
        <v>79.166666666666671</v>
      </c>
      <c r="H1120" s="39">
        <f t="shared" ca="1" si="51"/>
        <v>600</v>
      </c>
      <c r="I1120" s="39">
        <f t="shared" ca="1" si="51"/>
        <v>695</v>
      </c>
      <c r="J1120" s="39">
        <f t="shared" ca="1" si="51"/>
        <v>33.333333333333336</v>
      </c>
      <c r="K1120" s="40"/>
      <c r="L1120" s="40"/>
      <c r="M1120" s="40"/>
      <c r="N1120" s="40"/>
      <c r="O1120" s="40"/>
      <c r="P1120" s="40"/>
      <c r="Q1120" s="40"/>
      <c r="R1120" s="40"/>
      <c r="S1120" s="40"/>
      <c r="T1120" s="40"/>
    </row>
    <row r="1121" spans="1:20" ht="15">
      <c r="A1121" s="3">
        <f t="shared" si="50"/>
        <v>2073</v>
      </c>
      <c r="B1121" s="3">
        <f t="shared" si="39"/>
        <v>365</v>
      </c>
      <c r="C1121" s="39">
        <f t="shared" ca="1" si="51"/>
        <v>154.75825</v>
      </c>
      <c r="D1121" s="39">
        <f t="shared" ca="1" si="51"/>
        <v>281.0162499999999</v>
      </c>
      <c r="E1121" s="39">
        <f t="shared" ca="1" si="51"/>
        <v>780.7254999999999</v>
      </c>
      <c r="F1121" s="39">
        <f t="shared" ca="1" si="51"/>
        <v>1216.5</v>
      </c>
      <c r="G1121" s="39">
        <f t="shared" ca="1" si="51"/>
        <v>79.166666666666671</v>
      </c>
      <c r="H1121" s="39">
        <f t="shared" ca="1" si="51"/>
        <v>600</v>
      </c>
      <c r="I1121" s="39">
        <f t="shared" ca="1" si="51"/>
        <v>695</v>
      </c>
      <c r="J1121" s="39">
        <f t="shared" ca="1" si="51"/>
        <v>33.333333333333336</v>
      </c>
      <c r="K1121" s="40"/>
      <c r="L1121" s="40"/>
      <c r="M1121" s="40"/>
      <c r="N1121" s="40"/>
      <c r="O1121" s="40"/>
      <c r="P1121" s="40"/>
      <c r="Q1121" s="40"/>
      <c r="R1121" s="40"/>
      <c r="S1121" s="40"/>
      <c r="T1121" s="40"/>
    </row>
    <row r="1122" spans="1:20" ht="15">
      <c r="A1122" s="3">
        <f t="shared" si="50"/>
        <v>2074</v>
      </c>
      <c r="B1122" s="3">
        <f t="shared" si="39"/>
        <v>365</v>
      </c>
      <c r="C1122" s="39">
        <f t="shared" ca="1" si="51"/>
        <v>154.75825</v>
      </c>
      <c r="D1122" s="39">
        <f t="shared" ca="1" si="51"/>
        <v>281.0162499999999</v>
      </c>
      <c r="E1122" s="39">
        <f t="shared" ca="1" si="51"/>
        <v>780.7254999999999</v>
      </c>
      <c r="F1122" s="39">
        <f t="shared" ca="1" si="51"/>
        <v>1216.5</v>
      </c>
      <c r="G1122" s="39">
        <f t="shared" ca="1" si="51"/>
        <v>79.166666666666671</v>
      </c>
      <c r="H1122" s="39">
        <f t="shared" ca="1" si="51"/>
        <v>600</v>
      </c>
      <c r="I1122" s="39">
        <f t="shared" ca="1" si="51"/>
        <v>695</v>
      </c>
      <c r="J1122" s="39">
        <f t="shared" ca="1" si="51"/>
        <v>33.333333333333336</v>
      </c>
      <c r="K1122" s="40"/>
      <c r="L1122" s="40"/>
      <c r="M1122" s="40"/>
      <c r="N1122" s="40"/>
      <c r="O1122" s="40"/>
      <c r="P1122" s="40"/>
      <c r="Q1122" s="40"/>
      <c r="R1122" s="40"/>
      <c r="S1122" s="40"/>
      <c r="T1122" s="40"/>
    </row>
    <row r="1123" spans="1:20" ht="15">
      <c r="A1123" s="3">
        <f t="shared" si="50"/>
        <v>2075</v>
      </c>
      <c r="B1123" s="3">
        <f t="shared" si="39"/>
        <v>365</v>
      </c>
      <c r="C1123" s="39">
        <f t="shared" ca="1" si="51"/>
        <v>154.75825</v>
      </c>
      <c r="D1123" s="39">
        <f t="shared" ca="1" si="51"/>
        <v>281.0162499999999</v>
      </c>
      <c r="E1123" s="39">
        <f t="shared" ca="1" si="51"/>
        <v>780.7254999999999</v>
      </c>
      <c r="F1123" s="39">
        <f t="shared" ca="1" si="51"/>
        <v>1216.5</v>
      </c>
      <c r="G1123" s="39">
        <f t="shared" ca="1" si="51"/>
        <v>79.166666666666671</v>
      </c>
      <c r="H1123" s="39">
        <f t="shared" ca="1" si="51"/>
        <v>600</v>
      </c>
      <c r="I1123" s="39">
        <f t="shared" ca="1" si="51"/>
        <v>695</v>
      </c>
      <c r="J1123" s="39">
        <f t="shared" ca="1" si="51"/>
        <v>33.333333333333336</v>
      </c>
      <c r="K1123" s="40"/>
      <c r="L1123" s="40"/>
      <c r="M1123" s="40"/>
      <c r="N1123" s="40"/>
      <c r="O1123" s="40"/>
      <c r="P1123" s="40"/>
      <c r="Q1123" s="40"/>
      <c r="R1123" s="40"/>
      <c r="S1123" s="40"/>
      <c r="T1123" s="40"/>
    </row>
    <row r="1124" spans="1:20" ht="15">
      <c r="A1124" s="3">
        <f t="shared" si="50"/>
        <v>2076</v>
      </c>
      <c r="B1124" s="3">
        <f t="shared" si="39"/>
        <v>366</v>
      </c>
      <c r="C1124" s="39">
        <f t="shared" ca="1" si="51"/>
        <v>154.75825</v>
      </c>
      <c r="D1124" s="39">
        <f t="shared" ca="1" si="51"/>
        <v>281.0162499999999</v>
      </c>
      <c r="E1124" s="39">
        <f t="shared" ca="1" si="51"/>
        <v>780.7254999999999</v>
      </c>
      <c r="F1124" s="39">
        <f t="shared" ca="1" si="51"/>
        <v>1216.5</v>
      </c>
      <c r="G1124" s="39">
        <f t="shared" ca="1" si="51"/>
        <v>79.166666666666671</v>
      </c>
      <c r="H1124" s="39">
        <f t="shared" ca="1" si="51"/>
        <v>600</v>
      </c>
      <c r="I1124" s="39">
        <f t="shared" ca="1" si="51"/>
        <v>695</v>
      </c>
      <c r="J1124" s="39">
        <f t="shared" ca="1" si="51"/>
        <v>33.333333333333336</v>
      </c>
      <c r="K1124" s="40"/>
      <c r="L1124" s="40"/>
      <c r="M1124" s="40"/>
      <c r="N1124" s="40"/>
      <c r="O1124" s="40"/>
      <c r="P1124" s="40"/>
      <c r="Q1124" s="40"/>
      <c r="R1124" s="40"/>
      <c r="S1124" s="40"/>
      <c r="T1124" s="40"/>
    </row>
    <row r="1125" spans="1:20" ht="15">
      <c r="A1125" s="3">
        <f t="shared" si="50"/>
        <v>2077</v>
      </c>
      <c r="B1125" s="3">
        <f t="shared" si="39"/>
        <v>365</v>
      </c>
      <c r="C1125" s="39">
        <f t="shared" ca="1" si="51"/>
        <v>154.75825</v>
      </c>
      <c r="D1125" s="39">
        <f t="shared" ca="1" si="51"/>
        <v>281.0162499999999</v>
      </c>
      <c r="E1125" s="39">
        <f t="shared" ca="1" si="51"/>
        <v>780.7254999999999</v>
      </c>
      <c r="F1125" s="39">
        <f t="shared" ca="1" si="51"/>
        <v>1216.5</v>
      </c>
      <c r="G1125" s="39">
        <f t="shared" ca="1" si="51"/>
        <v>79.166666666666671</v>
      </c>
      <c r="H1125" s="39">
        <f t="shared" ca="1" si="51"/>
        <v>600</v>
      </c>
      <c r="I1125" s="39">
        <f t="shared" ca="1" si="51"/>
        <v>695</v>
      </c>
      <c r="J1125" s="39">
        <f t="shared" ca="1" si="51"/>
        <v>33.333333333333336</v>
      </c>
      <c r="K1125" s="40"/>
      <c r="L1125" s="40"/>
      <c r="M1125" s="40"/>
      <c r="N1125" s="40"/>
      <c r="O1125" s="40"/>
      <c r="P1125" s="40"/>
      <c r="Q1125" s="40"/>
      <c r="R1125" s="40"/>
      <c r="S1125" s="40"/>
      <c r="T1125" s="40"/>
    </row>
    <row r="1126" spans="1:20" ht="15">
      <c r="A1126" s="3">
        <f t="shared" si="50"/>
        <v>2078</v>
      </c>
      <c r="B1126" s="3">
        <f t="shared" ref="B1126:B1148" si="52">DATE(A1126+1,1,1)-DATE(A1126,1,1)</f>
        <v>365</v>
      </c>
      <c r="C1126" s="39">
        <f t="shared" ca="1" si="51"/>
        <v>154.75825</v>
      </c>
      <c r="D1126" s="39">
        <f t="shared" ca="1" si="51"/>
        <v>281.0162499999999</v>
      </c>
      <c r="E1126" s="39">
        <f t="shared" ca="1" si="51"/>
        <v>780.7254999999999</v>
      </c>
      <c r="F1126" s="39">
        <f t="shared" ca="1" si="51"/>
        <v>1216.5</v>
      </c>
      <c r="G1126" s="39">
        <f t="shared" ca="1" si="51"/>
        <v>79.166666666666671</v>
      </c>
      <c r="H1126" s="39">
        <f t="shared" ca="1" si="51"/>
        <v>600</v>
      </c>
      <c r="I1126" s="39">
        <f t="shared" ca="1" si="51"/>
        <v>695</v>
      </c>
      <c r="J1126" s="39">
        <f t="shared" ca="1" si="51"/>
        <v>33.333333333333336</v>
      </c>
      <c r="K1126" s="40"/>
      <c r="L1126" s="40"/>
      <c r="M1126" s="40"/>
      <c r="N1126" s="40"/>
      <c r="O1126" s="40"/>
      <c r="P1126" s="40"/>
      <c r="Q1126" s="40"/>
      <c r="R1126" s="40"/>
      <c r="S1126" s="40"/>
      <c r="T1126" s="40"/>
    </row>
    <row r="1127" spans="1:20" ht="15">
      <c r="A1127" s="3">
        <f t="shared" si="50"/>
        <v>2079</v>
      </c>
      <c r="B1127" s="3">
        <f t="shared" si="52"/>
        <v>365</v>
      </c>
      <c r="C1127" s="39">
        <f t="shared" ca="1" si="51"/>
        <v>154.75825</v>
      </c>
      <c r="D1127" s="39">
        <f t="shared" ca="1" si="51"/>
        <v>281.0162499999999</v>
      </c>
      <c r="E1127" s="39">
        <f t="shared" ca="1" si="51"/>
        <v>780.7254999999999</v>
      </c>
      <c r="F1127" s="39">
        <f t="shared" ca="1" si="51"/>
        <v>1216.5</v>
      </c>
      <c r="G1127" s="39">
        <f t="shared" ca="1" si="51"/>
        <v>79.166666666666671</v>
      </c>
      <c r="H1127" s="39">
        <f t="shared" ca="1" si="51"/>
        <v>600</v>
      </c>
      <c r="I1127" s="39">
        <f t="shared" ca="1" si="51"/>
        <v>695</v>
      </c>
      <c r="J1127" s="39">
        <f t="shared" ca="1" si="51"/>
        <v>33.333333333333336</v>
      </c>
      <c r="K1127" s="40"/>
      <c r="L1127" s="40"/>
      <c r="M1127" s="40"/>
      <c r="N1127" s="40"/>
      <c r="O1127" s="40"/>
      <c r="P1127" s="40"/>
      <c r="Q1127" s="40"/>
      <c r="R1127" s="40"/>
      <c r="S1127" s="40"/>
      <c r="T1127" s="40"/>
    </row>
    <row r="1128" spans="1:20" ht="15">
      <c r="A1128" s="3">
        <f t="shared" si="50"/>
        <v>2080</v>
      </c>
      <c r="B1128" s="3">
        <f t="shared" si="52"/>
        <v>366</v>
      </c>
      <c r="C1128" s="39">
        <f t="shared" ca="1" si="51"/>
        <v>154.75825</v>
      </c>
      <c r="D1128" s="39">
        <f t="shared" ca="1" si="51"/>
        <v>281.0162499999999</v>
      </c>
      <c r="E1128" s="39">
        <f t="shared" ca="1" si="51"/>
        <v>780.7254999999999</v>
      </c>
      <c r="F1128" s="39">
        <f t="shared" ca="1" si="51"/>
        <v>1216.5</v>
      </c>
      <c r="G1128" s="39">
        <f t="shared" ca="1" si="51"/>
        <v>79.166666666666671</v>
      </c>
      <c r="H1128" s="39">
        <f t="shared" ca="1" si="51"/>
        <v>600</v>
      </c>
      <c r="I1128" s="39">
        <f t="shared" ca="1" si="51"/>
        <v>695</v>
      </c>
      <c r="J1128" s="39">
        <f t="shared" ca="1" si="51"/>
        <v>33.333333333333336</v>
      </c>
      <c r="K1128" s="40"/>
      <c r="L1128" s="40"/>
      <c r="M1128" s="40"/>
      <c r="N1128" s="40"/>
      <c r="O1128" s="40"/>
      <c r="P1128" s="40"/>
      <c r="Q1128" s="40"/>
      <c r="R1128" s="40"/>
      <c r="S1128" s="40"/>
      <c r="T1128" s="40"/>
    </row>
    <row r="1129" spans="1:20" ht="15">
      <c r="A1129" s="3">
        <f t="shared" si="50"/>
        <v>2081</v>
      </c>
      <c r="B1129" s="3">
        <f t="shared" si="52"/>
        <v>365</v>
      </c>
      <c r="C1129" s="39">
        <f t="shared" ca="1" si="51"/>
        <v>154.75825</v>
      </c>
      <c r="D1129" s="39">
        <f t="shared" ca="1" si="51"/>
        <v>281.0162499999999</v>
      </c>
      <c r="E1129" s="39">
        <f t="shared" ca="1" si="51"/>
        <v>780.7254999999999</v>
      </c>
      <c r="F1129" s="39">
        <f t="shared" ca="1" si="51"/>
        <v>1216.5</v>
      </c>
      <c r="G1129" s="39">
        <f t="shared" ca="1" si="51"/>
        <v>79.166666666666671</v>
      </c>
      <c r="H1129" s="39">
        <f t="shared" ca="1" si="51"/>
        <v>600</v>
      </c>
      <c r="I1129" s="39">
        <f t="shared" ca="1" si="51"/>
        <v>695</v>
      </c>
      <c r="J1129" s="39">
        <f t="shared" ca="1" si="51"/>
        <v>33.333333333333336</v>
      </c>
      <c r="K1129" s="40"/>
      <c r="L1129" s="40"/>
      <c r="M1129" s="40"/>
      <c r="N1129" s="40"/>
      <c r="O1129" s="40"/>
      <c r="P1129" s="40"/>
      <c r="Q1129" s="40"/>
      <c r="R1129" s="40"/>
      <c r="S1129" s="40"/>
      <c r="T1129" s="40"/>
    </row>
    <row r="1130" spans="1:20" ht="15">
      <c r="A1130" s="3">
        <f t="shared" si="50"/>
        <v>2082</v>
      </c>
      <c r="B1130" s="3">
        <f t="shared" si="52"/>
        <v>365</v>
      </c>
      <c r="C1130" s="39">
        <f t="shared" ref="C1130:J1139" ca="1" si="53">AVERAGE(OFFSET(C$593,($A1130-$A$1110)*12,0,12,1))</f>
        <v>154.75825</v>
      </c>
      <c r="D1130" s="39">
        <f t="shared" ca="1" si="53"/>
        <v>281.0162499999999</v>
      </c>
      <c r="E1130" s="39">
        <f t="shared" ca="1" si="53"/>
        <v>780.7254999999999</v>
      </c>
      <c r="F1130" s="39">
        <f t="shared" ca="1" si="53"/>
        <v>1216.5</v>
      </c>
      <c r="G1130" s="39">
        <f t="shared" ca="1" si="53"/>
        <v>79.166666666666671</v>
      </c>
      <c r="H1130" s="39">
        <f t="shared" ca="1" si="53"/>
        <v>600</v>
      </c>
      <c r="I1130" s="39">
        <f t="shared" ca="1" si="53"/>
        <v>695</v>
      </c>
      <c r="J1130" s="39">
        <f t="shared" ca="1" si="53"/>
        <v>33.333333333333336</v>
      </c>
      <c r="K1130" s="40"/>
      <c r="L1130" s="40"/>
      <c r="M1130" s="40"/>
      <c r="N1130" s="40"/>
      <c r="O1130" s="40"/>
      <c r="P1130" s="40"/>
      <c r="Q1130" s="40"/>
      <c r="R1130" s="40"/>
      <c r="S1130" s="40"/>
      <c r="T1130" s="40"/>
    </row>
    <row r="1131" spans="1:20" ht="15">
      <c r="A1131" s="3">
        <f t="shared" si="50"/>
        <v>2083</v>
      </c>
      <c r="B1131" s="3">
        <f t="shared" si="52"/>
        <v>365</v>
      </c>
      <c r="C1131" s="39">
        <f t="shared" ca="1" si="53"/>
        <v>154.75825</v>
      </c>
      <c r="D1131" s="39">
        <f t="shared" ca="1" si="53"/>
        <v>281.0162499999999</v>
      </c>
      <c r="E1131" s="39">
        <f t="shared" ca="1" si="53"/>
        <v>780.7254999999999</v>
      </c>
      <c r="F1131" s="39">
        <f t="shared" ca="1" si="53"/>
        <v>1216.5</v>
      </c>
      <c r="G1131" s="39">
        <f t="shared" ca="1" si="53"/>
        <v>79.166666666666671</v>
      </c>
      <c r="H1131" s="39">
        <f t="shared" ca="1" si="53"/>
        <v>600</v>
      </c>
      <c r="I1131" s="39">
        <f t="shared" ca="1" si="53"/>
        <v>695</v>
      </c>
      <c r="J1131" s="39">
        <f t="shared" ca="1" si="53"/>
        <v>33.333333333333336</v>
      </c>
      <c r="K1131" s="40"/>
      <c r="L1131" s="40"/>
      <c r="M1131" s="40"/>
      <c r="N1131" s="40"/>
      <c r="O1131" s="40"/>
      <c r="P1131" s="40"/>
      <c r="Q1131" s="40"/>
      <c r="R1131" s="40"/>
      <c r="S1131" s="40"/>
      <c r="T1131" s="40"/>
    </row>
    <row r="1132" spans="1:20" ht="15">
      <c r="A1132" s="3">
        <f t="shared" si="50"/>
        <v>2084</v>
      </c>
      <c r="B1132" s="3">
        <f t="shared" si="52"/>
        <v>366</v>
      </c>
      <c r="C1132" s="39">
        <f t="shared" ca="1" si="53"/>
        <v>154.75825</v>
      </c>
      <c r="D1132" s="39">
        <f t="shared" ca="1" si="53"/>
        <v>281.0162499999999</v>
      </c>
      <c r="E1132" s="39">
        <f t="shared" ca="1" si="53"/>
        <v>780.7254999999999</v>
      </c>
      <c r="F1132" s="39">
        <f t="shared" ca="1" si="53"/>
        <v>1216.5</v>
      </c>
      <c r="G1132" s="39">
        <f t="shared" ca="1" si="53"/>
        <v>79.166666666666671</v>
      </c>
      <c r="H1132" s="39">
        <f t="shared" ca="1" si="53"/>
        <v>600</v>
      </c>
      <c r="I1132" s="39">
        <f t="shared" ca="1" si="53"/>
        <v>695</v>
      </c>
      <c r="J1132" s="39">
        <f t="shared" ca="1" si="53"/>
        <v>33.333333333333336</v>
      </c>
      <c r="K1132" s="40"/>
      <c r="L1132" s="40"/>
      <c r="M1132" s="40"/>
      <c r="N1132" s="40"/>
      <c r="O1132" s="40"/>
      <c r="P1132" s="40"/>
      <c r="Q1132" s="40"/>
      <c r="R1132" s="40"/>
      <c r="S1132" s="40"/>
      <c r="T1132" s="40"/>
    </row>
    <row r="1133" spans="1:20" ht="15">
      <c r="A1133" s="3">
        <f t="shared" si="50"/>
        <v>2085</v>
      </c>
      <c r="B1133" s="3">
        <f t="shared" si="52"/>
        <v>365</v>
      </c>
      <c r="C1133" s="39">
        <f t="shared" ca="1" si="53"/>
        <v>154.75825</v>
      </c>
      <c r="D1133" s="39">
        <f t="shared" ca="1" si="53"/>
        <v>281.0162499999999</v>
      </c>
      <c r="E1133" s="39">
        <f t="shared" ca="1" si="53"/>
        <v>780.7254999999999</v>
      </c>
      <c r="F1133" s="39">
        <f t="shared" ca="1" si="53"/>
        <v>1216.5</v>
      </c>
      <c r="G1133" s="39">
        <f t="shared" ca="1" si="53"/>
        <v>79.166666666666671</v>
      </c>
      <c r="H1133" s="39">
        <f t="shared" ca="1" si="53"/>
        <v>600</v>
      </c>
      <c r="I1133" s="39">
        <f t="shared" ca="1" si="53"/>
        <v>695</v>
      </c>
      <c r="J1133" s="39">
        <f t="shared" ca="1" si="53"/>
        <v>33.333333333333336</v>
      </c>
      <c r="K1133" s="40"/>
      <c r="L1133" s="40"/>
      <c r="M1133" s="40"/>
      <c r="N1133" s="40"/>
      <c r="O1133" s="40"/>
      <c r="P1133" s="40"/>
      <c r="Q1133" s="40"/>
      <c r="R1133" s="40"/>
      <c r="S1133" s="40"/>
      <c r="T1133" s="40"/>
    </row>
    <row r="1134" spans="1:20" ht="15">
      <c r="A1134" s="3">
        <f t="shared" si="50"/>
        <v>2086</v>
      </c>
      <c r="B1134" s="3">
        <f t="shared" si="52"/>
        <v>365</v>
      </c>
      <c r="C1134" s="39">
        <f t="shared" ca="1" si="53"/>
        <v>154.75825</v>
      </c>
      <c r="D1134" s="39">
        <f t="shared" ca="1" si="53"/>
        <v>281.0162499999999</v>
      </c>
      <c r="E1134" s="39">
        <f t="shared" ca="1" si="53"/>
        <v>780.7254999999999</v>
      </c>
      <c r="F1134" s="39">
        <f t="shared" ca="1" si="53"/>
        <v>1216.5</v>
      </c>
      <c r="G1134" s="39">
        <f t="shared" ca="1" si="53"/>
        <v>79.166666666666671</v>
      </c>
      <c r="H1134" s="39">
        <f t="shared" ca="1" si="53"/>
        <v>600</v>
      </c>
      <c r="I1134" s="39">
        <f t="shared" ca="1" si="53"/>
        <v>695</v>
      </c>
      <c r="J1134" s="39">
        <f t="shared" ca="1" si="53"/>
        <v>33.333333333333336</v>
      </c>
      <c r="K1134" s="40"/>
      <c r="L1134" s="40"/>
      <c r="M1134" s="40"/>
      <c r="N1134" s="40"/>
      <c r="O1134" s="40"/>
      <c r="P1134" s="40"/>
      <c r="Q1134" s="40"/>
      <c r="R1134" s="40"/>
      <c r="S1134" s="40"/>
      <c r="T1134" s="40"/>
    </row>
    <row r="1135" spans="1:20" ht="15">
      <c r="A1135" s="3">
        <f t="shared" si="50"/>
        <v>2087</v>
      </c>
      <c r="B1135" s="3">
        <f t="shared" si="52"/>
        <v>365</v>
      </c>
      <c r="C1135" s="39">
        <f t="shared" ca="1" si="53"/>
        <v>154.75825</v>
      </c>
      <c r="D1135" s="39">
        <f t="shared" ca="1" si="53"/>
        <v>281.0162499999999</v>
      </c>
      <c r="E1135" s="39">
        <f t="shared" ca="1" si="53"/>
        <v>780.7254999999999</v>
      </c>
      <c r="F1135" s="39">
        <f t="shared" ca="1" si="53"/>
        <v>1216.5</v>
      </c>
      <c r="G1135" s="39">
        <f t="shared" ca="1" si="53"/>
        <v>79.166666666666671</v>
      </c>
      <c r="H1135" s="39">
        <f t="shared" ca="1" si="53"/>
        <v>600</v>
      </c>
      <c r="I1135" s="39">
        <f t="shared" ca="1" si="53"/>
        <v>695</v>
      </c>
      <c r="J1135" s="39">
        <f t="shared" ca="1" si="53"/>
        <v>33.333333333333336</v>
      </c>
      <c r="K1135" s="40"/>
      <c r="L1135" s="40"/>
      <c r="M1135" s="40"/>
      <c r="N1135" s="40"/>
      <c r="O1135" s="40"/>
      <c r="P1135" s="40"/>
      <c r="Q1135" s="40"/>
      <c r="R1135" s="40"/>
      <c r="S1135" s="40"/>
      <c r="T1135" s="40"/>
    </row>
    <row r="1136" spans="1:20" ht="15">
      <c r="A1136" s="3">
        <f t="shared" si="50"/>
        <v>2088</v>
      </c>
      <c r="B1136" s="3">
        <f t="shared" si="52"/>
        <v>366</v>
      </c>
      <c r="C1136" s="39">
        <f t="shared" ca="1" si="53"/>
        <v>154.75825</v>
      </c>
      <c r="D1136" s="39">
        <f t="shared" ca="1" si="53"/>
        <v>281.0162499999999</v>
      </c>
      <c r="E1136" s="39">
        <f t="shared" ca="1" si="53"/>
        <v>780.7254999999999</v>
      </c>
      <c r="F1136" s="39">
        <f t="shared" ca="1" si="53"/>
        <v>1216.5</v>
      </c>
      <c r="G1136" s="39">
        <f t="shared" ca="1" si="53"/>
        <v>79.166666666666671</v>
      </c>
      <c r="H1136" s="39">
        <f t="shared" ca="1" si="53"/>
        <v>600</v>
      </c>
      <c r="I1136" s="39">
        <f t="shared" ca="1" si="53"/>
        <v>695</v>
      </c>
      <c r="J1136" s="39">
        <f t="shared" ca="1" si="53"/>
        <v>33.333333333333336</v>
      </c>
      <c r="K1136" s="40"/>
      <c r="L1136" s="40"/>
      <c r="M1136" s="40"/>
      <c r="N1136" s="40"/>
      <c r="O1136" s="40"/>
      <c r="P1136" s="40"/>
      <c r="Q1136" s="40"/>
      <c r="R1136" s="40"/>
      <c r="S1136" s="40"/>
      <c r="T1136" s="40"/>
    </row>
    <row r="1137" spans="1:20" ht="15">
      <c r="A1137" s="3">
        <f t="shared" si="50"/>
        <v>2089</v>
      </c>
      <c r="B1137" s="3">
        <f t="shared" si="52"/>
        <v>365</v>
      </c>
      <c r="C1137" s="39">
        <f t="shared" ca="1" si="53"/>
        <v>154.75825</v>
      </c>
      <c r="D1137" s="39">
        <f t="shared" ca="1" si="53"/>
        <v>281.0162499999999</v>
      </c>
      <c r="E1137" s="39">
        <f t="shared" ca="1" si="53"/>
        <v>780.7254999999999</v>
      </c>
      <c r="F1137" s="39">
        <f t="shared" ca="1" si="53"/>
        <v>1216.5</v>
      </c>
      <c r="G1137" s="39">
        <f t="shared" ca="1" si="53"/>
        <v>79.166666666666671</v>
      </c>
      <c r="H1137" s="39">
        <f t="shared" ca="1" si="53"/>
        <v>600</v>
      </c>
      <c r="I1137" s="39">
        <f t="shared" ca="1" si="53"/>
        <v>695</v>
      </c>
      <c r="J1137" s="39">
        <f t="shared" ca="1" si="53"/>
        <v>33.333333333333336</v>
      </c>
      <c r="K1137" s="40"/>
      <c r="L1137" s="40"/>
      <c r="M1137" s="40"/>
      <c r="N1137" s="40"/>
      <c r="O1137" s="40"/>
      <c r="P1137" s="40"/>
      <c r="Q1137" s="40"/>
      <c r="R1137" s="40"/>
      <c r="S1137" s="40"/>
      <c r="T1137" s="40"/>
    </row>
    <row r="1138" spans="1:20" ht="15">
      <c r="A1138" s="3">
        <f t="shared" si="50"/>
        <v>2090</v>
      </c>
      <c r="B1138" s="3">
        <f t="shared" si="52"/>
        <v>365</v>
      </c>
      <c r="C1138" s="39">
        <f t="shared" ca="1" si="53"/>
        <v>154.75825</v>
      </c>
      <c r="D1138" s="39">
        <f t="shared" ca="1" si="53"/>
        <v>281.0162499999999</v>
      </c>
      <c r="E1138" s="39">
        <f t="shared" ca="1" si="53"/>
        <v>780.7254999999999</v>
      </c>
      <c r="F1138" s="39">
        <f t="shared" ca="1" si="53"/>
        <v>1216.5</v>
      </c>
      <c r="G1138" s="39">
        <f t="shared" ca="1" si="53"/>
        <v>79.166666666666671</v>
      </c>
      <c r="H1138" s="39">
        <f t="shared" ca="1" si="53"/>
        <v>600</v>
      </c>
      <c r="I1138" s="39">
        <f t="shared" ca="1" si="53"/>
        <v>695</v>
      </c>
      <c r="J1138" s="39">
        <f t="shared" ca="1" si="53"/>
        <v>33.333333333333336</v>
      </c>
      <c r="K1138" s="40"/>
      <c r="L1138" s="40"/>
      <c r="M1138" s="40"/>
      <c r="N1138" s="40"/>
      <c r="O1138" s="40"/>
      <c r="P1138" s="40"/>
      <c r="Q1138" s="40"/>
      <c r="R1138" s="40"/>
      <c r="S1138" s="40"/>
      <c r="T1138" s="40"/>
    </row>
    <row r="1139" spans="1:20" ht="15">
      <c r="A1139" s="3">
        <f t="shared" si="50"/>
        <v>2091</v>
      </c>
      <c r="B1139" s="3">
        <f t="shared" si="52"/>
        <v>365</v>
      </c>
      <c r="C1139" s="39">
        <f t="shared" ca="1" si="53"/>
        <v>154.75825</v>
      </c>
      <c r="D1139" s="39">
        <f t="shared" ca="1" si="53"/>
        <v>281.0162499999999</v>
      </c>
      <c r="E1139" s="39">
        <f t="shared" ca="1" si="53"/>
        <v>780.7254999999999</v>
      </c>
      <c r="F1139" s="39">
        <f t="shared" ca="1" si="53"/>
        <v>1216.5</v>
      </c>
      <c r="G1139" s="39">
        <f t="shared" ca="1" si="53"/>
        <v>79.166666666666671</v>
      </c>
      <c r="H1139" s="39">
        <f t="shared" ca="1" si="53"/>
        <v>600</v>
      </c>
      <c r="I1139" s="39">
        <f t="shared" ca="1" si="53"/>
        <v>695</v>
      </c>
      <c r="J1139" s="39">
        <f t="shared" ca="1" si="53"/>
        <v>33.333333333333336</v>
      </c>
    </row>
    <row r="1140" spans="1:20" ht="15">
      <c r="A1140" s="3">
        <f t="shared" si="50"/>
        <v>2092</v>
      </c>
      <c r="B1140" s="3">
        <f t="shared" si="52"/>
        <v>366</v>
      </c>
      <c r="C1140" s="39">
        <f t="shared" ref="C1140:J1148" ca="1" si="54">AVERAGE(OFFSET(C$593,($A1140-$A$1110)*12,0,12,1))</f>
        <v>154.75825</v>
      </c>
      <c r="D1140" s="39">
        <f t="shared" ca="1" si="54"/>
        <v>281.0162499999999</v>
      </c>
      <c r="E1140" s="39">
        <f t="shared" ca="1" si="54"/>
        <v>780.7254999999999</v>
      </c>
      <c r="F1140" s="39">
        <f t="shared" ca="1" si="54"/>
        <v>1216.5</v>
      </c>
      <c r="G1140" s="39">
        <f t="shared" ca="1" si="54"/>
        <v>79.166666666666671</v>
      </c>
      <c r="H1140" s="39">
        <f t="shared" ca="1" si="54"/>
        <v>600</v>
      </c>
      <c r="I1140" s="39">
        <f t="shared" ca="1" si="54"/>
        <v>695</v>
      </c>
      <c r="J1140" s="39">
        <f t="shared" ca="1" si="54"/>
        <v>33.333333333333336</v>
      </c>
    </row>
    <row r="1141" spans="1:20" ht="15">
      <c r="A1141" s="3">
        <f t="shared" si="50"/>
        <v>2093</v>
      </c>
      <c r="B1141" s="3">
        <f t="shared" si="52"/>
        <v>365</v>
      </c>
      <c r="C1141" s="39">
        <f t="shared" ca="1" si="54"/>
        <v>154.75825</v>
      </c>
      <c r="D1141" s="39">
        <f t="shared" ca="1" si="54"/>
        <v>281.0162499999999</v>
      </c>
      <c r="E1141" s="39">
        <f t="shared" ca="1" si="54"/>
        <v>780.7254999999999</v>
      </c>
      <c r="F1141" s="39">
        <f t="shared" ca="1" si="54"/>
        <v>1216.5</v>
      </c>
      <c r="G1141" s="39">
        <f t="shared" ca="1" si="54"/>
        <v>79.166666666666671</v>
      </c>
      <c r="H1141" s="39">
        <f t="shared" ca="1" si="54"/>
        <v>600</v>
      </c>
      <c r="I1141" s="39">
        <f t="shared" ca="1" si="54"/>
        <v>695</v>
      </c>
      <c r="J1141" s="39">
        <f t="shared" ca="1" si="54"/>
        <v>33.333333333333336</v>
      </c>
    </row>
    <row r="1142" spans="1:20" ht="15">
      <c r="A1142" s="3">
        <f t="shared" si="50"/>
        <v>2094</v>
      </c>
      <c r="B1142" s="3">
        <f t="shared" si="52"/>
        <v>365</v>
      </c>
      <c r="C1142" s="39">
        <f t="shared" ca="1" si="54"/>
        <v>154.75825</v>
      </c>
      <c r="D1142" s="39">
        <f t="shared" ca="1" si="54"/>
        <v>281.0162499999999</v>
      </c>
      <c r="E1142" s="39">
        <f t="shared" ca="1" si="54"/>
        <v>780.7254999999999</v>
      </c>
      <c r="F1142" s="39">
        <f t="shared" ca="1" si="54"/>
        <v>1216.5</v>
      </c>
      <c r="G1142" s="39">
        <f t="shared" ca="1" si="54"/>
        <v>79.166666666666671</v>
      </c>
      <c r="H1142" s="39">
        <f t="shared" ca="1" si="54"/>
        <v>600</v>
      </c>
      <c r="I1142" s="39">
        <f t="shared" ca="1" si="54"/>
        <v>695</v>
      </c>
      <c r="J1142" s="39">
        <f t="shared" ca="1" si="54"/>
        <v>33.333333333333336</v>
      </c>
    </row>
    <row r="1143" spans="1:20" ht="15">
      <c r="A1143" s="3">
        <f t="shared" si="50"/>
        <v>2095</v>
      </c>
      <c r="B1143" s="3">
        <f t="shared" si="52"/>
        <v>365</v>
      </c>
      <c r="C1143" s="39">
        <f t="shared" ca="1" si="54"/>
        <v>154.75825</v>
      </c>
      <c r="D1143" s="39">
        <f t="shared" ca="1" si="54"/>
        <v>281.0162499999999</v>
      </c>
      <c r="E1143" s="39">
        <f t="shared" ca="1" si="54"/>
        <v>780.7254999999999</v>
      </c>
      <c r="F1143" s="39">
        <f t="shared" ca="1" si="54"/>
        <v>1216.5</v>
      </c>
      <c r="G1143" s="39">
        <f t="shared" ca="1" si="54"/>
        <v>79.166666666666671</v>
      </c>
      <c r="H1143" s="39">
        <f t="shared" ca="1" si="54"/>
        <v>600</v>
      </c>
      <c r="I1143" s="39">
        <f t="shared" ca="1" si="54"/>
        <v>695</v>
      </c>
      <c r="J1143" s="39">
        <f t="shared" ca="1" si="54"/>
        <v>33.333333333333336</v>
      </c>
    </row>
    <row r="1144" spans="1:20" ht="15">
      <c r="A1144" s="3">
        <f t="shared" si="50"/>
        <v>2096</v>
      </c>
      <c r="B1144" s="3">
        <f t="shared" si="52"/>
        <v>366</v>
      </c>
      <c r="C1144" s="39">
        <f t="shared" ca="1" si="54"/>
        <v>154.75825</v>
      </c>
      <c r="D1144" s="39">
        <f t="shared" ca="1" si="54"/>
        <v>281.0162499999999</v>
      </c>
      <c r="E1144" s="39">
        <f t="shared" ca="1" si="54"/>
        <v>780.7254999999999</v>
      </c>
      <c r="F1144" s="39">
        <f t="shared" ca="1" si="54"/>
        <v>1216.5</v>
      </c>
      <c r="G1144" s="39">
        <f t="shared" ca="1" si="54"/>
        <v>79.166666666666671</v>
      </c>
      <c r="H1144" s="39">
        <f t="shared" ca="1" si="54"/>
        <v>600</v>
      </c>
      <c r="I1144" s="39">
        <f t="shared" ca="1" si="54"/>
        <v>695</v>
      </c>
      <c r="J1144" s="39">
        <f t="shared" ca="1" si="54"/>
        <v>33.333333333333336</v>
      </c>
    </row>
    <row r="1145" spans="1:20" ht="15">
      <c r="A1145" s="3">
        <f t="shared" si="50"/>
        <v>2097</v>
      </c>
      <c r="B1145" s="3">
        <f t="shared" si="52"/>
        <v>365</v>
      </c>
      <c r="C1145" s="39">
        <f t="shared" ca="1" si="54"/>
        <v>154.75825</v>
      </c>
      <c r="D1145" s="39">
        <f t="shared" ca="1" si="54"/>
        <v>281.0162499999999</v>
      </c>
      <c r="E1145" s="39">
        <f t="shared" ca="1" si="54"/>
        <v>780.7254999999999</v>
      </c>
      <c r="F1145" s="39">
        <f t="shared" ca="1" si="54"/>
        <v>1216.5</v>
      </c>
      <c r="G1145" s="39">
        <f t="shared" ca="1" si="54"/>
        <v>79.166666666666671</v>
      </c>
      <c r="H1145" s="39">
        <f t="shared" ca="1" si="54"/>
        <v>600</v>
      </c>
      <c r="I1145" s="39">
        <f t="shared" ca="1" si="54"/>
        <v>695</v>
      </c>
      <c r="J1145" s="39">
        <f t="shared" ca="1" si="54"/>
        <v>33.333333333333336</v>
      </c>
    </row>
    <row r="1146" spans="1:20" ht="15">
      <c r="A1146" s="3">
        <f t="shared" si="50"/>
        <v>2098</v>
      </c>
      <c r="B1146" s="3">
        <f t="shared" si="52"/>
        <v>365</v>
      </c>
      <c r="C1146" s="39">
        <f t="shared" ca="1" si="54"/>
        <v>154.75825</v>
      </c>
      <c r="D1146" s="39">
        <f t="shared" ca="1" si="54"/>
        <v>281.0162499999999</v>
      </c>
      <c r="E1146" s="39">
        <f t="shared" ca="1" si="54"/>
        <v>780.7254999999999</v>
      </c>
      <c r="F1146" s="39">
        <f t="shared" ca="1" si="54"/>
        <v>1216.5</v>
      </c>
      <c r="G1146" s="39">
        <f t="shared" ca="1" si="54"/>
        <v>79.166666666666671</v>
      </c>
      <c r="H1146" s="39">
        <f t="shared" ca="1" si="54"/>
        <v>600</v>
      </c>
      <c r="I1146" s="39">
        <f t="shared" ca="1" si="54"/>
        <v>695</v>
      </c>
      <c r="J1146" s="39">
        <f t="shared" ca="1" si="54"/>
        <v>33.333333333333336</v>
      </c>
    </row>
    <row r="1147" spans="1:20" ht="15">
      <c r="A1147" s="3">
        <f t="shared" si="50"/>
        <v>2099</v>
      </c>
      <c r="B1147" s="3">
        <f t="shared" si="52"/>
        <v>365</v>
      </c>
      <c r="C1147" s="39">
        <f t="shared" ca="1" si="54"/>
        <v>154.75825</v>
      </c>
      <c r="D1147" s="39">
        <f t="shared" ca="1" si="54"/>
        <v>281.0162499999999</v>
      </c>
      <c r="E1147" s="39">
        <f t="shared" ca="1" si="54"/>
        <v>780.7254999999999</v>
      </c>
      <c r="F1147" s="39">
        <f t="shared" ca="1" si="54"/>
        <v>1216.5</v>
      </c>
      <c r="G1147" s="39">
        <f t="shared" ca="1" si="54"/>
        <v>79.166666666666671</v>
      </c>
      <c r="H1147" s="39">
        <f t="shared" ca="1" si="54"/>
        <v>600</v>
      </c>
      <c r="I1147" s="39">
        <f t="shared" ca="1" si="54"/>
        <v>695</v>
      </c>
      <c r="J1147" s="39">
        <f t="shared" ca="1" si="54"/>
        <v>33.333333333333336</v>
      </c>
    </row>
    <row r="1148" spans="1:20" ht="15">
      <c r="A1148" s="3">
        <f t="shared" si="50"/>
        <v>2100</v>
      </c>
      <c r="B1148" s="3">
        <f t="shared" si="52"/>
        <v>365</v>
      </c>
      <c r="C1148" s="39">
        <f t="shared" ca="1" si="54"/>
        <v>154.75825</v>
      </c>
      <c r="D1148" s="39">
        <f t="shared" ca="1" si="54"/>
        <v>281.0162499999999</v>
      </c>
      <c r="E1148" s="39">
        <f t="shared" ca="1" si="54"/>
        <v>780.7254999999999</v>
      </c>
      <c r="F1148" s="39">
        <f t="shared" ca="1" si="54"/>
        <v>1216.5</v>
      </c>
      <c r="G1148" s="39">
        <f t="shared" ca="1" si="54"/>
        <v>79.166666666666671</v>
      </c>
      <c r="H1148" s="39">
        <f t="shared" ca="1" si="54"/>
        <v>600</v>
      </c>
      <c r="I1148" s="39">
        <f t="shared" ca="1" si="54"/>
        <v>695</v>
      </c>
      <c r="J1148" s="39">
        <f t="shared" ca="1" si="54"/>
        <v>33.333333333333336</v>
      </c>
    </row>
    <row r="1149" spans="1:20">
      <c r="A1149" s="36"/>
      <c r="B1149" s="36"/>
      <c r="C1149" s="38"/>
      <c r="D1149" s="38"/>
      <c r="E1149" s="38"/>
      <c r="F1149" s="38"/>
      <c r="G1149" s="38"/>
    </row>
    <row r="1150" spans="1:20">
      <c r="A1150" s="36"/>
      <c r="B1150" s="36"/>
    </row>
    <row r="1151" spans="1:20">
      <c r="A1151" s="36"/>
      <c r="B1151" s="36"/>
    </row>
    <row r="1152" spans="1:20">
      <c r="A1152" s="36"/>
      <c r="B1152" s="36"/>
    </row>
    <row r="1153" spans="1:2">
      <c r="A1153" s="36"/>
      <c r="B1153" s="36"/>
    </row>
    <row r="1154" spans="1:2">
      <c r="A1154" s="36"/>
      <c r="B1154" s="36"/>
    </row>
    <row r="1155" spans="1:2">
      <c r="A1155" s="36"/>
      <c r="B1155" s="36"/>
    </row>
    <row r="1156" spans="1:2">
      <c r="A1156" s="36"/>
      <c r="B1156" s="36"/>
    </row>
    <row r="1157" spans="1:2">
      <c r="A1157" s="36"/>
      <c r="B1157" s="36"/>
    </row>
    <row r="1158" spans="1:2">
      <c r="A1158" s="36"/>
      <c r="B1158" s="36"/>
    </row>
    <row r="1159" spans="1:2">
      <c r="A1159" s="36"/>
      <c r="B1159" s="36"/>
    </row>
    <row r="1160" spans="1:2">
      <c r="A1160" s="36"/>
      <c r="B1160" s="36"/>
    </row>
    <row r="1161" spans="1:2">
      <c r="A1161" s="36"/>
      <c r="B1161" s="36"/>
    </row>
    <row r="1162" spans="1:2">
      <c r="A1162" s="36"/>
      <c r="B1162" s="36"/>
    </row>
    <row r="1163" spans="1:2">
      <c r="A1163" s="36"/>
      <c r="B1163" s="36"/>
    </row>
    <row r="1164" spans="1:2">
      <c r="A1164" s="36"/>
      <c r="B1164" s="36"/>
    </row>
    <row r="1165" spans="1:2">
      <c r="A1165" s="36"/>
      <c r="B1165" s="36"/>
    </row>
    <row r="1166" spans="1:2">
      <c r="A1166" s="36"/>
      <c r="B1166" s="36"/>
    </row>
    <row r="1167" spans="1:2">
      <c r="A1167" s="36"/>
      <c r="B1167" s="36"/>
    </row>
    <row r="1168" spans="1:2">
      <c r="A1168" s="36"/>
      <c r="B1168" s="36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68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7" bestFit="1" customWidth="1"/>
    <col min="2" max="2" width="10" style="37" customWidth="1"/>
    <col min="3" max="3" width="12" style="37" customWidth="1"/>
    <col min="4" max="4" width="12.109375" style="37" bestFit="1" customWidth="1"/>
    <col min="5" max="5" width="8.44140625" style="37" bestFit="1" customWidth="1"/>
    <col min="6" max="16384" width="7.109375" style="36"/>
  </cols>
  <sheetData>
    <row r="1" spans="1:7" ht="15.75">
      <c r="A1" s="88" t="s">
        <v>64</v>
      </c>
    </row>
    <row r="2" spans="1:7" ht="15.75">
      <c r="A2" s="88" t="s">
        <v>65</v>
      </c>
    </row>
    <row r="3" spans="1:7" ht="15.75">
      <c r="A3" s="88" t="s">
        <v>66</v>
      </c>
    </row>
    <row r="4" spans="1:7" ht="15.75">
      <c r="A4" s="88" t="s">
        <v>67</v>
      </c>
    </row>
    <row r="5" spans="1:7" ht="15.75">
      <c r="A5" s="88" t="s">
        <v>73</v>
      </c>
    </row>
    <row r="6" spans="1:7" ht="15.75">
      <c r="A6" s="88" t="s">
        <v>71</v>
      </c>
    </row>
    <row r="8" spans="1:7" ht="20.25">
      <c r="A8" s="35" t="s">
        <v>43</v>
      </c>
    </row>
    <row r="9" spans="1:7" ht="15" customHeight="1">
      <c r="A9" s="61" t="s">
        <v>25</v>
      </c>
    </row>
    <row r="10" spans="1:7" ht="15" customHeight="1">
      <c r="A10" s="66"/>
      <c r="F10" s="64"/>
      <c r="G10" s="64"/>
    </row>
    <row r="11" spans="1:7" ht="15" customHeight="1">
      <c r="A11" s="66"/>
      <c r="B11" s="65"/>
      <c r="C11" s="65"/>
      <c r="D11" s="65"/>
      <c r="E11" s="65"/>
      <c r="F11" s="64"/>
      <c r="G11" s="64"/>
    </row>
    <row r="12" spans="1:7" ht="15" customHeight="1"/>
    <row r="13" spans="1:7" ht="15" customHeight="1">
      <c r="B13" s="63" t="s">
        <v>24</v>
      </c>
      <c r="C13" s="62">
        <f>1-0.263</f>
        <v>0.73699999999999999</v>
      </c>
      <c r="D13" s="63" t="s">
        <v>23</v>
      </c>
      <c r="E13" s="62">
        <f>1+0.263</f>
        <v>1.2629999999999999</v>
      </c>
    </row>
    <row r="14" spans="1:7" ht="15" customHeight="1">
      <c r="A14" s="61"/>
      <c r="B14" s="91" t="s">
        <v>42</v>
      </c>
      <c r="C14" s="91"/>
      <c r="D14" s="60" t="s">
        <v>41</v>
      </c>
      <c r="E14" s="55"/>
    </row>
    <row r="15" spans="1:7" s="58" customFormat="1" ht="63">
      <c r="B15" s="59" t="s">
        <v>40</v>
      </c>
      <c r="C15" s="59" t="s">
        <v>39</v>
      </c>
      <c r="D15" s="59" t="s">
        <v>38</v>
      </c>
      <c r="E15" s="27" t="s">
        <v>37</v>
      </c>
    </row>
    <row r="16" spans="1:7" s="58" customFormat="1" ht="21" customHeight="1">
      <c r="A16" s="24" t="s">
        <v>2</v>
      </c>
      <c r="B16" s="50" t="s">
        <v>1</v>
      </c>
      <c r="C16" s="50" t="s">
        <v>1</v>
      </c>
      <c r="D16" s="50" t="s">
        <v>1</v>
      </c>
      <c r="E16" s="24" t="s">
        <v>36</v>
      </c>
    </row>
    <row r="17" spans="1:5" ht="15">
      <c r="A17" s="13">
        <v>41640</v>
      </c>
      <c r="B17" s="4">
        <v>16.436064253071699</v>
      </c>
      <c r="C17" s="4">
        <v>16.288836342915499</v>
      </c>
      <c r="D17" s="4">
        <v>24.229497427101201</v>
      </c>
      <c r="E17" s="4">
        <v>98.77</v>
      </c>
    </row>
    <row r="18" spans="1:5" ht="15">
      <c r="A18" s="13">
        <v>41671</v>
      </c>
      <c r="B18" s="4">
        <v>17.464204878071701</v>
      </c>
      <c r="C18" s="4">
        <v>17.316976967915501</v>
      </c>
      <c r="D18" s="4">
        <v>24.359056260720401</v>
      </c>
      <c r="E18" s="4">
        <v>94.99</v>
      </c>
    </row>
    <row r="19" spans="1:5" ht="15">
      <c r="A19" s="13">
        <v>41699</v>
      </c>
      <c r="B19" s="4">
        <v>17.5704548780717</v>
      </c>
      <c r="C19" s="4">
        <v>17.4232269679155</v>
      </c>
      <c r="D19" s="4">
        <v>23.297155060034299</v>
      </c>
      <c r="E19" s="4">
        <v>102.92</v>
      </c>
    </row>
    <row r="20" spans="1:5" ht="15">
      <c r="A20" s="13">
        <v>41730</v>
      </c>
      <c r="B20" s="4">
        <v>16.605954878071699</v>
      </c>
      <c r="C20" s="4">
        <v>16.458726967915499</v>
      </c>
      <c r="D20" s="4">
        <v>22.8128799313894</v>
      </c>
      <c r="E20" s="4">
        <v>99.43</v>
      </c>
    </row>
    <row r="21" spans="1:5" ht="15">
      <c r="A21" s="13">
        <v>41760</v>
      </c>
      <c r="B21" s="4">
        <v>16.420773787848599</v>
      </c>
      <c r="C21" s="4">
        <v>16.273553600348599</v>
      </c>
      <c r="D21" s="4">
        <v>23.1277790737564</v>
      </c>
      <c r="E21" s="4">
        <v>102.13</v>
      </c>
    </row>
    <row r="22" spans="1:5" ht="15">
      <c r="A22" s="13">
        <v>41791</v>
      </c>
      <c r="B22" s="4">
        <v>16.224492537848601</v>
      </c>
      <c r="C22" s="4">
        <v>16.077272350348601</v>
      </c>
      <c r="D22" s="4">
        <v>23.109257289879899</v>
      </c>
      <c r="E22" s="4">
        <v>102.44</v>
      </c>
    </row>
    <row r="23" spans="1:5" ht="15">
      <c r="A23" s="13">
        <v>41821</v>
      </c>
      <c r="B23" s="4">
        <f>16 * CHOOSE(CONTROL!$C$9, $C$13, 100%, $E$13) + CHOOSE(CONTROL!$C$28, 0.0272, 0)</f>
        <v>16.027200000000001</v>
      </c>
      <c r="C23" s="4">
        <f>15.6367 * CHOOSE(CONTROL!$C$9, $C$13, 100%, $E$13) + CHOOSE(CONTROL!$C$28, 0.0272, 0)</f>
        <v>15.6639</v>
      </c>
      <c r="D23" s="4">
        <f>23.2538 * CHOOSE(CONTROL!$C$9, $C$13, 100%, $E$13) + CHOOSE(CONTROL!$C$28, 0.0021, 0)</f>
        <v>23.255899999999997</v>
      </c>
      <c r="E23" s="4">
        <f>107.26 * CHOOSE(CONTROL!$C$9, $C$13, 100%, $E$13) + CHOOSE(CONTROL!$C$28, 0.0021, 0)</f>
        <v>107.2621</v>
      </c>
    </row>
    <row r="24" spans="1:5" ht="15">
      <c r="A24" s="13">
        <v>41852</v>
      </c>
      <c r="B24" s="4">
        <f>15.1181 * CHOOSE(CONTROL!$C$9, $C$13, 100%, $E$13) + CHOOSE(CONTROL!$C$28, 0.0272, 0)</f>
        <v>15.145300000000001</v>
      </c>
      <c r="C24" s="4">
        <f>14.7548 * CHOOSE(CONTROL!$C$9, $C$13, 100%, $E$13) + CHOOSE(CONTROL!$C$28, 0.0272, 0)</f>
        <v>14.782</v>
      </c>
      <c r="D24" s="4">
        <f>22.6472 * CHOOSE(CONTROL!$C$9, $C$13, 100%, $E$13) + CHOOSE(CONTROL!$C$28, 0.0021, 0)</f>
        <v>22.6493</v>
      </c>
      <c r="E24" s="4">
        <f>104.42 * CHOOSE(CONTROL!$C$9, $C$13, 100%, $E$13) + CHOOSE(CONTROL!$C$28, 0.0021, 0)</f>
        <v>104.4221</v>
      </c>
    </row>
    <row r="25" spans="1:5" ht="15">
      <c r="A25" s="13">
        <v>41883</v>
      </c>
      <c r="B25" s="4">
        <f>14.8465 * CHOOSE(CONTROL!$C$9, $C$13, 100%, $E$13) + CHOOSE(CONTROL!$C$28, 0.0272, 0)</f>
        <v>14.873700000000001</v>
      </c>
      <c r="C25" s="4">
        <f>14.4832 * CHOOSE(CONTROL!$C$9, $C$13, 100%, $E$13) + CHOOSE(CONTROL!$C$28, 0.0272, 0)</f>
        <v>14.510400000000001</v>
      </c>
      <c r="D25" s="4">
        <f>22.4332 * CHOOSE(CONTROL!$C$9, $C$13, 100%, $E$13) + CHOOSE(CONTROL!$C$28, 0.0021, 0)</f>
        <v>22.435299999999998</v>
      </c>
      <c r="E25" s="4">
        <f>96.07 * CHOOSE(CONTROL!$C$9, $C$13, 100%, $E$13) + CHOOSE(CONTROL!$C$28, 0.0021, 0)</f>
        <v>96.072099999999992</v>
      </c>
    </row>
    <row r="26" spans="1:5" ht="15">
      <c r="A26" s="13">
        <v>41913</v>
      </c>
      <c r="B26" s="4">
        <f>12.9487 * CHOOSE(CONTROL!$C$9, $C$13, 100%, $E$13) + CHOOSE(CONTROL!$C$28, 0.0272, 0)</f>
        <v>12.975900000000001</v>
      </c>
      <c r="C26" s="4">
        <f>12.5855 * CHOOSE(CONTROL!$C$9, $C$13, 100%, $E$13) + CHOOSE(CONTROL!$C$28, 0.0272, 0)</f>
        <v>12.6127</v>
      </c>
      <c r="D26" s="4">
        <f>20.9225 * CHOOSE(CONTROL!$C$9, $C$13, 100%, $E$13) + CHOOSE(CONTROL!$C$28, 0.0021, 0)</f>
        <v>20.924599999999998</v>
      </c>
      <c r="E26" s="4">
        <f>91.52 * CHOOSE(CONTROL!$C$9, $C$13, 100%, $E$13) + CHOOSE(CONTROL!$C$28, 0.0021, 0)</f>
        <v>91.522099999999995</v>
      </c>
    </row>
    <row r="27" spans="1:5" ht="15">
      <c r="A27" s="13">
        <v>41944</v>
      </c>
      <c r="B27" s="4">
        <f>12.2891 * CHOOSE(CONTROL!$C$9, $C$13, 100%, $E$13) + CHOOSE(CONTROL!$C$28, 0.0272, 0)</f>
        <v>12.3163</v>
      </c>
      <c r="C27" s="4">
        <f>11.9258 * CHOOSE(CONTROL!$C$9, $C$13, 100%, $E$13) + CHOOSE(CONTROL!$C$28, 0.0272, 0)</f>
        <v>11.953000000000001</v>
      </c>
      <c r="D27" s="4">
        <f>19.9665 * CHOOSE(CONTROL!$C$9, $C$13, 100%, $E$13) + CHOOSE(CONTROL!$C$28, 0.0021, 0)</f>
        <v>19.968599999999999</v>
      </c>
      <c r="E27" s="4">
        <f>82.75 * CHOOSE(CONTROL!$C$9, $C$13, 100%, $E$13) + CHOOSE(CONTROL!$C$28, 0.0021, 0)</f>
        <v>82.752099999999999</v>
      </c>
    </row>
    <row r="28" spans="1:5" ht="15">
      <c r="A28" s="13">
        <v>41974</v>
      </c>
      <c r="B28" s="4">
        <f>12.5469 * CHOOSE(CONTROL!$C$9, $C$13, 100%, $E$13) + CHOOSE(CONTROL!$C$28, 0.0272, 0)</f>
        <v>12.574100000000001</v>
      </c>
      <c r="C28" s="4">
        <f>12.1836 * CHOOSE(CONTROL!$C$9, $C$13, 100%, $E$13) + CHOOSE(CONTROL!$C$28, 0.0272, 0)</f>
        <v>12.210800000000001</v>
      </c>
      <c r="D28" s="4">
        <f>19.7893 * CHOOSE(CONTROL!$C$9, $C$13, 100%, $E$13) + CHOOSE(CONTROL!$C$28, 0.0021, 0)</f>
        <v>19.791399999999999</v>
      </c>
      <c r="E28" s="4">
        <f>78.78 * CHOOSE(CONTROL!$C$9, $C$13, 100%, $E$13) + CHOOSE(CONTROL!$C$28, 0.0021, 0)</f>
        <v>78.7821</v>
      </c>
    </row>
    <row r="29" spans="1:5" ht="15">
      <c r="A29" s="13">
        <v>42005</v>
      </c>
      <c r="B29" s="4">
        <f>12.6328 * CHOOSE(CONTROL!$C$9, $C$13, 100%, $E$13) + CHOOSE(CONTROL!$C$28, 0.0272, 0)</f>
        <v>12.66</v>
      </c>
      <c r="C29" s="4">
        <f>12.2695 * CHOOSE(CONTROL!$C$9, $C$13, 100%, $E$13) + CHOOSE(CONTROL!$C$28, 0.0272, 0)</f>
        <v>12.296700000000001</v>
      </c>
      <c r="D29" s="4">
        <f>19.7519 * CHOOSE(CONTROL!$C$9, $C$13, 100%, $E$13) + CHOOSE(CONTROL!$C$28, 0.0021, 0)</f>
        <v>19.753999999999998</v>
      </c>
      <c r="E29" s="4">
        <f>78.84 * CHOOSE(CONTROL!$C$9, $C$13, 100%, $E$13) + CHOOSE(CONTROL!$C$28, 0.0021, 0)</f>
        <v>78.842100000000002</v>
      </c>
    </row>
    <row r="30" spans="1:5" ht="15">
      <c r="A30" s="13">
        <v>42036</v>
      </c>
      <c r="B30" s="4">
        <f>12.6406 * CHOOSE(CONTROL!$C$9, $C$13, 100%, $E$13) + CHOOSE(CONTROL!$C$28, 0.0272, 0)</f>
        <v>12.6678</v>
      </c>
      <c r="C30" s="4">
        <f>12.2773 * CHOOSE(CONTROL!$C$9, $C$13, 100%, $E$13) + CHOOSE(CONTROL!$C$28, 0.0272, 0)</f>
        <v>12.304500000000001</v>
      </c>
      <c r="D30" s="4">
        <f>19.7151 * CHOOSE(CONTROL!$C$9, $C$13, 100%, $E$13) + CHOOSE(CONTROL!$C$28, 0.0021, 0)</f>
        <v>19.717199999999998</v>
      </c>
      <c r="E30" s="4">
        <f>78.84 * CHOOSE(CONTROL!$C$9, $C$13, 100%, $E$13) + CHOOSE(CONTROL!$C$28, 0.0021, 0)</f>
        <v>78.842100000000002</v>
      </c>
    </row>
    <row r="31" spans="1:5" ht="15">
      <c r="A31" s="13">
        <v>42064</v>
      </c>
      <c r="B31" s="4">
        <f>12.6484 * CHOOSE(CONTROL!$C$9, $C$13, 100%, $E$13) + CHOOSE(CONTROL!$C$28, 0.0272, 0)</f>
        <v>12.675600000000001</v>
      </c>
      <c r="C31" s="4">
        <f>12.2852 * CHOOSE(CONTROL!$C$9, $C$13, 100%, $E$13) + CHOOSE(CONTROL!$C$28, 0.0272, 0)</f>
        <v>12.3124</v>
      </c>
      <c r="D31" s="4">
        <f>19.6524 * CHOOSE(CONTROL!$C$9, $C$13, 100%, $E$13) + CHOOSE(CONTROL!$C$28, 0.0021, 0)</f>
        <v>19.654499999999999</v>
      </c>
      <c r="E31" s="4">
        <f>78.85 * CHOOSE(CONTROL!$C$9, $C$13, 100%, $E$13) + CHOOSE(CONTROL!$C$28, 0.0021, 0)</f>
        <v>78.852099999999993</v>
      </c>
    </row>
    <row r="32" spans="1:5" ht="15">
      <c r="A32" s="13">
        <v>42095</v>
      </c>
      <c r="B32" s="4">
        <f>12.6562 * CHOOSE(CONTROL!$C$9, $C$13, 100%, $E$13) + CHOOSE(CONTROL!$C$28, 0.0272, 0)</f>
        <v>12.683400000000001</v>
      </c>
      <c r="C32" s="4">
        <f>12.293 * CHOOSE(CONTROL!$C$9, $C$13, 100%, $E$13) + CHOOSE(CONTROL!$C$28, 0.0272, 0)</f>
        <v>12.3202</v>
      </c>
      <c r="D32" s="4">
        <f>19.5854 * CHOOSE(CONTROL!$C$9, $C$13, 100%, $E$13) + CHOOSE(CONTROL!$C$28, 0.0021, 0)</f>
        <v>19.587499999999999</v>
      </c>
      <c r="E32" s="4">
        <f>78.85 * CHOOSE(CONTROL!$C$9, $C$13, 100%, $E$13) + CHOOSE(CONTROL!$C$28, 0.0021, 0)</f>
        <v>78.852099999999993</v>
      </c>
    </row>
    <row r="33" spans="1:5" ht="15">
      <c r="A33" s="13">
        <v>42125</v>
      </c>
      <c r="B33" s="4">
        <f>12.7031 * CHOOSE(CONTROL!$C$9, $C$13, 100%, $E$13) + CHOOSE(CONTROL!$C$28, 0.0272, 0)</f>
        <v>12.7303</v>
      </c>
      <c r="C33" s="4">
        <f>12.3398 * CHOOSE(CONTROL!$C$9, $C$13, 100%, $E$13) + CHOOSE(CONTROL!$C$28, 0.0272, 0)</f>
        <v>12.367000000000001</v>
      </c>
      <c r="D33" s="4">
        <f>19.5797 * CHOOSE(CONTROL!$C$9, $C$13, 100%, $E$13) + CHOOSE(CONTROL!$C$28, 0.0021, 0)</f>
        <v>19.581799999999998</v>
      </c>
      <c r="E33" s="4">
        <f>78.86 * CHOOSE(CONTROL!$C$9, $C$13, 100%, $E$13) + CHOOSE(CONTROL!$C$28, 0.0021, 0)</f>
        <v>78.862099999999998</v>
      </c>
    </row>
    <row r="34" spans="1:5" ht="15">
      <c r="A34" s="13">
        <v>42156</v>
      </c>
      <c r="B34" s="4">
        <f>12.75 * CHOOSE(CONTROL!$C$9, $C$13, 100%, $E$13) + CHOOSE(CONTROL!$C$28, 0.0272, 0)</f>
        <v>12.777200000000001</v>
      </c>
      <c r="C34" s="4">
        <f>12.3867 * CHOOSE(CONTROL!$C$9, $C$13, 100%, $E$13) + CHOOSE(CONTROL!$C$28, 0.0272, 0)</f>
        <v>12.4139</v>
      </c>
      <c r="D34" s="4">
        <f>19.6179 * CHOOSE(CONTROL!$C$9, $C$13, 100%, $E$13) + CHOOSE(CONTROL!$C$28, 0.0021, 0)</f>
        <v>19.619999999999997</v>
      </c>
      <c r="E34" s="4">
        <f>78.9 * CHOOSE(CONTROL!$C$9, $C$13, 100%, $E$13) + CHOOSE(CONTROL!$C$28, 0.0021, 0)</f>
        <v>78.902100000000004</v>
      </c>
    </row>
    <row r="35" spans="1:5" ht="15">
      <c r="A35" s="13">
        <v>42186</v>
      </c>
      <c r="B35" s="4">
        <f>12.7969 * CHOOSE(CONTROL!$C$9, $C$13, 100%, $E$13) + CHOOSE(CONTROL!$C$28, 0.0272, 0)</f>
        <v>12.824100000000001</v>
      </c>
      <c r="C35" s="4">
        <f>12.4336 * CHOOSE(CONTROL!$C$9, $C$13, 100%, $E$13) + CHOOSE(CONTROL!$C$28, 0.0272, 0)</f>
        <v>12.460800000000001</v>
      </c>
      <c r="D35" s="4">
        <f>19.6935 * CHOOSE(CONTROL!$C$9, $C$13, 100%, $E$13) + CHOOSE(CONTROL!$C$28, 0.0021, 0)</f>
        <v>19.695599999999999</v>
      </c>
      <c r="E35" s="4">
        <f>78.91 * CHOOSE(CONTROL!$C$9, $C$13, 100%, $E$13) + CHOOSE(CONTROL!$C$28, 0.0021, 0)</f>
        <v>78.912099999999995</v>
      </c>
    </row>
    <row r="36" spans="1:5" ht="15">
      <c r="A36" s="13">
        <v>42217</v>
      </c>
      <c r="B36" s="4">
        <f>12.8438 * CHOOSE(CONTROL!$C$9, $C$13, 100%, $E$13) + CHOOSE(CONTROL!$C$28, 0.0272, 0)</f>
        <v>12.871</v>
      </c>
      <c r="C36" s="4">
        <f>12.4805 * CHOOSE(CONTROL!$C$9, $C$13, 100%, $E$13) + CHOOSE(CONTROL!$C$28, 0.0272, 0)</f>
        <v>12.5077</v>
      </c>
      <c r="D36" s="4">
        <f>19.7713 * CHOOSE(CONTROL!$C$9, $C$13, 100%, $E$13) + CHOOSE(CONTROL!$C$28, 0.0021, 0)</f>
        <v>19.773399999999999</v>
      </c>
      <c r="E36" s="4">
        <f>78.96 * CHOOSE(CONTROL!$C$9, $C$13, 100%, $E$13) + CHOOSE(CONTROL!$C$28, 0.0021, 0)</f>
        <v>78.962099999999992</v>
      </c>
    </row>
    <row r="37" spans="1:5" ht="15">
      <c r="A37" s="13">
        <v>42248</v>
      </c>
      <c r="B37" s="4">
        <f>12.8906 * CHOOSE(CONTROL!$C$9, $C$13, 100%, $E$13) + CHOOSE(CONTROL!$C$28, 0.0272, 0)</f>
        <v>12.9178</v>
      </c>
      <c r="C37" s="4">
        <f>12.5273 * CHOOSE(CONTROL!$C$9, $C$13, 100%, $E$13) + CHOOSE(CONTROL!$C$28, 0.0272, 0)</f>
        <v>12.554500000000001</v>
      </c>
      <c r="D37" s="4">
        <f>19.8527 * CHOOSE(CONTROL!$C$9, $C$13, 100%, $E$13) + CHOOSE(CONTROL!$C$28, 0.0021, 0)</f>
        <v>19.854799999999997</v>
      </c>
      <c r="E37" s="4">
        <f>79.07 * CHOOSE(CONTROL!$C$9, $C$13, 100%, $E$13) + CHOOSE(CONTROL!$C$28, 0.0021, 0)</f>
        <v>79.072099999999992</v>
      </c>
    </row>
    <row r="38" spans="1:5" ht="15">
      <c r="A38" s="13">
        <v>42278</v>
      </c>
      <c r="B38" s="4">
        <f>12.9375 * CHOOSE(CONTROL!$C$9, $C$13, 100%, $E$13) + CHOOSE(CONTROL!$C$28, 0.0272, 0)</f>
        <v>12.964700000000001</v>
      </c>
      <c r="C38" s="4">
        <f>12.5742 * CHOOSE(CONTROL!$C$9, $C$13, 100%, $E$13) + CHOOSE(CONTROL!$C$28, 0.0272, 0)</f>
        <v>12.6014</v>
      </c>
      <c r="D38" s="4">
        <f>19.9219 * CHOOSE(CONTROL!$C$9, $C$13, 100%, $E$13) + CHOOSE(CONTROL!$C$28, 0.0021, 0)</f>
        <v>19.923999999999999</v>
      </c>
      <c r="E38" s="4">
        <f>79.18 * CHOOSE(CONTROL!$C$9, $C$13, 100%, $E$13) + CHOOSE(CONTROL!$C$28, 0.0021, 0)</f>
        <v>79.182100000000005</v>
      </c>
    </row>
    <row r="39" spans="1:5" ht="15">
      <c r="A39" s="13">
        <v>42309</v>
      </c>
      <c r="B39" s="4">
        <f>12.9844 * CHOOSE(CONTROL!$C$9, $C$13, 100%, $E$13) + CHOOSE(CONTROL!$C$28, 0.0272, 0)</f>
        <v>13.011600000000001</v>
      </c>
      <c r="C39" s="4">
        <f>12.6211 * CHOOSE(CONTROL!$C$9, $C$13, 100%, $E$13) + CHOOSE(CONTROL!$C$28, 0.0272, 0)</f>
        <v>12.648300000000001</v>
      </c>
      <c r="D39" s="4">
        <f>19.9745 * CHOOSE(CONTROL!$C$9, $C$13, 100%, $E$13) + CHOOSE(CONTROL!$C$28, 0.0021, 0)</f>
        <v>19.976599999999998</v>
      </c>
      <c r="E39" s="4">
        <f>79.33 * CHOOSE(CONTROL!$C$9, $C$13, 100%, $E$13) + CHOOSE(CONTROL!$C$28, 0.0021, 0)</f>
        <v>79.332099999999997</v>
      </c>
    </row>
    <row r="40" spans="1:5" ht="15">
      <c r="A40" s="13">
        <v>42339</v>
      </c>
      <c r="B40" s="4">
        <f>13.0312 * CHOOSE(CONTROL!$C$9, $C$13, 100%, $E$13) + CHOOSE(CONTROL!$C$28, 0.0272, 0)</f>
        <v>13.058400000000001</v>
      </c>
      <c r="C40" s="4">
        <f>12.668 * CHOOSE(CONTROL!$C$9, $C$13, 100%, $E$13) + CHOOSE(CONTROL!$C$28, 0.0272, 0)</f>
        <v>12.6952</v>
      </c>
      <c r="D40" s="4">
        <f>20.004 * CHOOSE(CONTROL!$C$9, $C$13, 100%, $E$13) + CHOOSE(CONTROL!$C$28, 0.0021, 0)</f>
        <v>20.0061</v>
      </c>
      <c r="E40" s="4">
        <f>79.48 * CHOOSE(CONTROL!$C$9, $C$13, 100%, $E$13) + CHOOSE(CONTROL!$C$28, 0.0021, 0)</f>
        <v>79.482100000000003</v>
      </c>
    </row>
    <row r="41" spans="1:5" ht="15">
      <c r="A41" s="13">
        <v>42370</v>
      </c>
      <c r="B41" s="4">
        <f>13.0703 * CHOOSE(CONTROL!$C$9, $C$13, 100%, $E$13) + CHOOSE(CONTROL!$C$28, 0.0272, 0)</f>
        <v>13.0975</v>
      </c>
      <c r="C41" s="4">
        <f>12.707 * CHOOSE(CONTROL!$C$9, $C$13, 100%, $E$13) + CHOOSE(CONTROL!$C$28, 0.0272, 0)</f>
        <v>12.734200000000001</v>
      </c>
      <c r="D41" s="4">
        <f>20.0343 * CHOOSE(CONTROL!$C$9, $C$13, 100%, $E$13) + CHOOSE(CONTROL!$C$28, 0.0021, 0)</f>
        <v>20.0364</v>
      </c>
      <c r="E41" s="4">
        <f>79.53 * CHOOSE(CONTROL!$C$9, $C$13, 100%, $E$13) + CHOOSE(CONTROL!$C$28, 0.0021, 0)</f>
        <v>79.5321</v>
      </c>
    </row>
    <row r="42" spans="1:5" ht="15">
      <c r="A42" s="13">
        <v>42401</v>
      </c>
      <c r="B42" s="4">
        <f>13.1094 * CHOOSE(CONTROL!$C$9, $C$13, 100%, $E$13) + CHOOSE(CONTROL!$C$28, 0.0272, 0)</f>
        <v>13.136600000000001</v>
      </c>
      <c r="C42" s="4">
        <f>12.7461 * CHOOSE(CONTROL!$C$9, $C$13, 100%, $E$13) + CHOOSE(CONTROL!$C$28, 0.0272, 0)</f>
        <v>12.773300000000001</v>
      </c>
      <c r="D42" s="4">
        <f>20.0054 * CHOOSE(CONTROL!$C$9, $C$13, 100%, $E$13) + CHOOSE(CONTROL!$C$28, 0.0021, 0)</f>
        <v>20.0075</v>
      </c>
      <c r="E42" s="4">
        <f>79.59 * CHOOSE(CONTROL!$C$9, $C$13, 100%, $E$13) + CHOOSE(CONTROL!$C$28, 0.0021, 0)</f>
        <v>79.592100000000002</v>
      </c>
    </row>
    <row r="43" spans="1:5" ht="15">
      <c r="A43" s="13">
        <v>42430</v>
      </c>
      <c r="B43" s="4">
        <f>13.1484 * CHOOSE(CONTROL!$C$9, $C$13, 100%, $E$13) + CHOOSE(CONTROL!$C$28, 0.0272, 0)</f>
        <v>13.175600000000001</v>
      </c>
      <c r="C43" s="4">
        <f>12.7852 * CHOOSE(CONTROL!$C$9, $C$13, 100%, $E$13) + CHOOSE(CONTROL!$C$28, 0.0272, 0)</f>
        <v>12.8124</v>
      </c>
      <c r="D43" s="4">
        <f>19.9276 * CHOOSE(CONTROL!$C$9, $C$13, 100%, $E$13) + CHOOSE(CONTROL!$C$28, 0.0021, 0)</f>
        <v>19.9297</v>
      </c>
      <c r="E43" s="4">
        <f>79.66 * CHOOSE(CONTROL!$C$9, $C$13, 100%, $E$13) + CHOOSE(CONTROL!$C$28, 0.0021, 0)</f>
        <v>79.662099999999995</v>
      </c>
    </row>
    <row r="44" spans="1:5" ht="15">
      <c r="A44" s="13">
        <v>42461</v>
      </c>
      <c r="B44" s="4">
        <f>13.1875 * CHOOSE(CONTROL!$C$9, $C$13, 100%, $E$13) + CHOOSE(CONTROL!$C$28, 0.0272, 0)</f>
        <v>13.214700000000001</v>
      </c>
      <c r="C44" s="4">
        <f>12.8242 * CHOOSE(CONTROL!$C$9, $C$13, 100%, $E$13) + CHOOSE(CONTROL!$C$28, 0.0272, 0)</f>
        <v>12.8514</v>
      </c>
      <c r="D44" s="4">
        <f>19.8383 * CHOOSE(CONTROL!$C$9, $C$13, 100%, $E$13) + CHOOSE(CONTROL!$C$28, 0.0021, 0)</f>
        <v>19.840399999999999</v>
      </c>
      <c r="E44" s="4">
        <f>79.75 * CHOOSE(CONTROL!$C$9, $C$13, 100%, $E$13) + CHOOSE(CONTROL!$C$28, 0.0021, 0)</f>
        <v>79.752099999999999</v>
      </c>
    </row>
    <row r="45" spans="1:5" ht="15">
      <c r="A45" s="13">
        <v>42491</v>
      </c>
      <c r="B45" s="4">
        <f>13.2266 * CHOOSE(CONTROL!$C$9, $C$13, 100%, $E$13) + CHOOSE(CONTROL!$C$28, 0.0272, 0)</f>
        <v>13.2538</v>
      </c>
      <c r="C45" s="4">
        <f>12.8633 * CHOOSE(CONTROL!$C$9, $C$13, 100%, $E$13) + CHOOSE(CONTROL!$C$28, 0.0272, 0)</f>
        <v>12.890500000000001</v>
      </c>
      <c r="D45" s="4">
        <f>19.8059 * CHOOSE(CONTROL!$C$9, $C$13, 100%, $E$13) + CHOOSE(CONTROL!$C$28, 0.0021, 0)</f>
        <v>19.808</v>
      </c>
      <c r="E45" s="4">
        <f>79.86 * CHOOSE(CONTROL!$C$9, $C$13, 100%, $E$13) + CHOOSE(CONTROL!$C$28, 0.0021, 0)</f>
        <v>79.862099999999998</v>
      </c>
    </row>
    <row r="46" spans="1:5" ht="15">
      <c r="A46" s="13">
        <v>42522</v>
      </c>
      <c r="B46" s="4">
        <f>13.2656 * CHOOSE(CONTROL!$C$9, $C$13, 100%, $E$13) + CHOOSE(CONTROL!$C$28, 0.0272, 0)</f>
        <v>13.2928</v>
      </c>
      <c r="C46" s="4">
        <f>12.9023 * CHOOSE(CONTROL!$C$9, $C$13, 100%, $E$13) + CHOOSE(CONTROL!$C$28, 0.0272, 0)</f>
        <v>12.929500000000001</v>
      </c>
      <c r="D46" s="4">
        <f>19.8008 * CHOOSE(CONTROL!$C$9, $C$13, 100%, $E$13) + CHOOSE(CONTROL!$C$28, 0.0021, 0)</f>
        <v>19.802899999999998</v>
      </c>
      <c r="E46" s="4">
        <f>80.02 * CHOOSE(CONTROL!$C$9, $C$13, 100%, $E$13) + CHOOSE(CONTROL!$C$28, 0.0021, 0)</f>
        <v>80.022099999999995</v>
      </c>
    </row>
    <row r="47" spans="1:5" ht="15">
      <c r="A47" s="13">
        <v>42552</v>
      </c>
      <c r="B47" s="4">
        <f>13.3047 * CHOOSE(CONTROL!$C$9, $C$13, 100%, $E$13) + CHOOSE(CONTROL!$C$28, 0.0272, 0)</f>
        <v>13.331900000000001</v>
      </c>
      <c r="C47" s="4">
        <f>12.9414 * CHOOSE(CONTROL!$C$9, $C$13, 100%, $E$13) + CHOOSE(CONTROL!$C$28, 0.0272, 0)</f>
        <v>12.9686</v>
      </c>
      <c r="D47" s="4">
        <f>19.8318 * CHOOSE(CONTROL!$C$9, $C$13, 100%, $E$13) + CHOOSE(CONTROL!$C$28, 0.0021, 0)</f>
        <v>19.8339</v>
      </c>
      <c r="E47" s="4">
        <f>80.05 * CHOOSE(CONTROL!$C$9, $C$13, 100%, $E$13) + CHOOSE(CONTROL!$C$28, 0.0021, 0)</f>
        <v>80.052099999999996</v>
      </c>
    </row>
    <row r="48" spans="1:5" ht="15">
      <c r="A48" s="13">
        <v>42583</v>
      </c>
      <c r="B48" s="4">
        <f>13.3438 * CHOOSE(CONTROL!$C$9, $C$13, 100%, $E$13) + CHOOSE(CONTROL!$C$28, 0.0272, 0)</f>
        <v>13.371</v>
      </c>
      <c r="C48" s="4">
        <f>12.9805 * CHOOSE(CONTROL!$C$9, $C$13, 100%, $E$13) + CHOOSE(CONTROL!$C$28, 0.0272, 0)</f>
        <v>13.0077</v>
      </c>
      <c r="D48" s="4">
        <f>19.875 * CHOOSE(CONTROL!$C$9, $C$13, 100%, $E$13) + CHOOSE(CONTROL!$C$28, 0.0021, 0)</f>
        <v>19.877099999999999</v>
      </c>
      <c r="E48" s="4">
        <f>80.13 * CHOOSE(CONTROL!$C$9, $C$13, 100%, $E$13) + CHOOSE(CONTROL!$C$28, 0.0021, 0)</f>
        <v>80.132099999999994</v>
      </c>
    </row>
    <row r="49" spans="1:5" ht="15">
      <c r="A49" s="13">
        <v>42614</v>
      </c>
      <c r="B49" s="4">
        <f>13.3828 * CHOOSE(CONTROL!$C$9, $C$13, 100%, $E$13) + CHOOSE(CONTROL!$C$28, 0.0272, 0)</f>
        <v>13.41</v>
      </c>
      <c r="C49" s="4">
        <f>13.0195 * CHOOSE(CONTROL!$C$9, $C$13, 100%, $E$13) + CHOOSE(CONTROL!$C$28, 0.0272, 0)</f>
        <v>13.046700000000001</v>
      </c>
      <c r="D49" s="4">
        <f>19.9183 * CHOOSE(CONTROL!$C$9, $C$13, 100%, $E$13) + CHOOSE(CONTROL!$C$28, 0.0021, 0)</f>
        <v>19.920399999999997</v>
      </c>
      <c r="E49" s="4">
        <f>80.23 * CHOOSE(CONTROL!$C$9, $C$13, 100%, $E$13) + CHOOSE(CONTROL!$C$28, 0.0021, 0)</f>
        <v>80.232100000000003</v>
      </c>
    </row>
    <row r="50" spans="1:5" ht="15">
      <c r="A50" s="13">
        <v>42644</v>
      </c>
      <c r="B50" s="4">
        <f>13.4219 * CHOOSE(CONTROL!$C$9, $C$13, 100%, $E$13) + CHOOSE(CONTROL!$C$28, 0.0272, 0)</f>
        <v>13.449100000000001</v>
      </c>
      <c r="C50" s="4">
        <f>13.0586 * CHOOSE(CONTROL!$C$9, $C$13, 100%, $E$13) + CHOOSE(CONTROL!$C$28, 0.0272, 0)</f>
        <v>13.085800000000001</v>
      </c>
      <c r="D50" s="4">
        <f>19.9615 * CHOOSE(CONTROL!$C$9, $C$13, 100%, $E$13) + CHOOSE(CONTROL!$C$28, 0.0021, 0)</f>
        <v>19.9636</v>
      </c>
      <c r="E50" s="4">
        <f>80.35 * CHOOSE(CONTROL!$C$9, $C$13, 100%, $E$13) + CHOOSE(CONTROL!$C$28, 0.0021, 0)</f>
        <v>80.352099999999993</v>
      </c>
    </row>
    <row r="51" spans="1:5" ht="15">
      <c r="A51" s="13">
        <v>42675</v>
      </c>
      <c r="B51" s="4">
        <f>13.4609 * CHOOSE(CONTROL!$C$9, $C$13, 100%, $E$13) + CHOOSE(CONTROL!$C$28, 0.0272, 0)</f>
        <v>13.488100000000001</v>
      </c>
      <c r="C51" s="4">
        <f>13.0977 * CHOOSE(CONTROL!$C$9, $C$13, 100%, $E$13) + CHOOSE(CONTROL!$C$28, 0.0272, 0)</f>
        <v>13.1249</v>
      </c>
      <c r="D51" s="4">
        <f>20.0083 * CHOOSE(CONTROL!$C$9, $C$13, 100%, $E$13) + CHOOSE(CONTROL!$C$28, 0.0021, 0)</f>
        <v>20.010399999999997</v>
      </c>
      <c r="E51" s="4">
        <f>80.48 * CHOOSE(CONTROL!$C$9, $C$13, 100%, $E$13) + CHOOSE(CONTROL!$C$28, 0.0021, 0)</f>
        <v>80.482100000000003</v>
      </c>
    </row>
    <row r="52" spans="1:5" ht="15">
      <c r="A52" s="13">
        <v>42705</v>
      </c>
      <c r="B52" s="4">
        <f>13.5 * CHOOSE(CONTROL!$C$9, $C$13, 100%, $E$13) + CHOOSE(CONTROL!$C$28, 0.0272, 0)</f>
        <v>13.527200000000001</v>
      </c>
      <c r="C52" s="4">
        <f>13.1367 * CHOOSE(CONTROL!$C$9, $C$13, 100%, $E$13) + CHOOSE(CONTROL!$C$28, 0.0272, 0)</f>
        <v>13.1639</v>
      </c>
      <c r="D52" s="4">
        <f>20.0544 * CHOOSE(CONTROL!$C$9, $C$13, 100%, $E$13) + CHOOSE(CONTROL!$C$28, 0.0021, 0)</f>
        <v>20.0565</v>
      </c>
      <c r="E52" s="4">
        <f>80.63 * CHOOSE(CONTROL!$C$9, $C$13, 100%, $E$13) + CHOOSE(CONTROL!$C$28, 0.0021, 0)</f>
        <v>80.632099999999994</v>
      </c>
    </row>
    <row r="53" spans="1:5" ht="15">
      <c r="A53" s="13">
        <v>42736</v>
      </c>
      <c r="B53" s="4">
        <f>12.1478 * CHOOSE(CONTROL!$C$9, $C$13, 100%, $E$13) + CHOOSE(CONTROL!$C$28, 0.0272, 0)</f>
        <v>12.175000000000001</v>
      </c>
      <c r="C53" s="4">
        <f>11.7845 * CHOOSE(CONTROL!$C$9, $C$13, 100%, $E$13) + CHOOSE(CONTROL!$C$28, 0.0272, 0)</f>
        <v>11.8117</v>
      </c>
      <c r="D53" s="4">
        <f>18.6062 * CHOOSE(CONTROL!$C$9, $C$13, 100%, $E$13) + CHOOSE(CONTROL!$C$28, 0.0021, 0)</f>
        <v>18.6083</v>
      </c>
      <c r="E53" s="4">
        <f>70.2901113533023 * CHOOSE(CONTROL!$C$9, $C$13, 100%, $E$13) + CHOOSE(CONTROL!$C$28, 0.0021, 0)</f>
        <v>70.292211353302292</v>
      </c>
    </row>
    <row r="54" spans="1:5" ht="15">
      <c r="A54" s="13">
        <v>42767</v>
      </c>
      <c r="B54" s="4">
        <f>12.4179 * CHOOSE(CONTROL!$C$9, $C$13, 100%, $E$13) + CHOOSE(CONTROL!$C$28, 0.0272, 0)</f>
        <v>12.4451</v>
      </c>
      <c r="C54" s="4">
        <f>12.0546 * CHOOSE(CONTROL!$C$9, $C$13, 100%, $E$13) + CHOOSE(CONTROL!$C$28, 0.0272, 0)</f>
        <v>12.081800000000001</v>
      </c>
      <c r="D54" s="4">
        <f>19.1976 * CHOOSE(CONTROL!$C$9, $C$13, 100%, $E$13) + CHOOSE(CONTROL!$C$28, 0.0021, 0)</f>
        <v>19.1997</v>
      </c>
      <c r="E54" s="4">
        <f>71.9590756037932 * CHOOSE(CONTROL!$C$9, $C$13, 100%, $E$13) + CHOOSE(CONTROL!$C$28, 0.0021, 0)</f>
        <v>71.961175603793194</v>
      </c>
    </row>
    <row r="55" spans="1:5" ht="15">
      <c r="A55" s="13">
        <v>42795</v>
      </c>
      <c r="B55" s="4">
        <f>13.1271 * CHOOSE(CONTROL!$C$9, $C$13, 100%, $E$13) + CHOOSE(CONTROL!$C$28, 0.0272, 0)</f>
        <v>13.154300000000001</v>
      </c>
      <c r="C55" s="4">
        <f>12.7638 * CHOOSE(CONTROL!$C$9, $C$13, 100%, $E$13) + CHOOSE(CONTROL!$C$28, 0.0272, 0)</f>
        <v>12.791</v>
      </c>
      <c r="D55" s="4">
        <f>20.1233 * CHOOSE(CONTROL!$C$9, $C$13, 100%, $E$13) + CHOOSE(CONTROL!$C$28, 0.0021, 0)</f>
        <v>20.125399999999999</v>
      </c>
      <c r="E55" s="4">
        <f>76.3418644197289 * CHOOSE(CONTROL!$C$9, $C$13, 100%, $E$13) + CHOOSE(CONTROL!$C$28, 0.0021, 0)</f>
        <v>76.343964419728906</v>
      </c>
    </row>
    <row r="56" spans="1:5" ht="15">
      <c r="A56" s="13">
        <v>42826</v>
      </c>
      <c r="B56" s="4">
        <f>13.631 * CHOOSE(CONTROL!$C$9, $C$13, 100%, $E$13) + CHOOSE(CONTROL!$C$28, 0.0272, 0)</f>
        <v>13.658200000000001</v>
      </c>
      <c r="C56" s="4">
        <f>13.2677 * CHOOSE(CONTROL!$C$9, $C$13, 100%, $E$13) + CHOOSE(CONTROL!$C$28, 0.0272, 0)</f>
        <v>13.2949</v>
      </c>
      <c r="D56" s="4">
        <f>20.6565 * CHOOSE(CONTROL!$C$9, $C$13, 100%, $E$13) + CHOOSE(CONTROL!$C$28, 0.0021, 0)</f>
        <v>20.6586</v>
      </c>
      <c r="E56" s="4">
        <f>79.4558942817918 * CHOOSE(CONTROL!$C$9, $C$13, 100%, $E$13) + CHOOSE(CONTROL!$C$28, 0.0021, 0)</f>
        <v>79.457994281791798</v>
      </c>
    </row>
    <row r="57" spans="1:5" ht="15">
      <c r="A57" s="13">
        <v>42856</v>
      </c>
      <c r="B57" s="4">
        <f>13.9389 * CHOOSE(CONTROL!$C$9, $C$13, 100%, $E$13) + CHOOSE(CONTROL!$C$28, 0.0272, 0)</f>
        <v>13.966100000000001</v>
      </c>
      <c r="C57" s="4">
        <f>13.5756 * CHOOSE(CONTROL!$C$9, $C$13, 100%, $E$13) + CHOOSE(CONTROL!$C$28, 0.0272, 0)</f>
        <v>13.6028</v>
      </c>
      <c r="D57" s="4">
        <f>20.4458 * CHOOSE(CONTROL!$C$9, $C$13, 100%, $E$13) + CHOOSE(CONTROL!$C$28, 0.0021, 0)</f>
        <v>20.447899999999997</v>
      </c>
      <c r="E57" s="4">
        <f>81.3584918946326 * CHOOSE(CONTROL!$C$9, $C$13, 100%, $E$13) + CHOOSE(CONTROL!$C$28, 0.0021, 0)</f>
        <v>81.360591894632606</v>
      </c>
    </row>
    <row r="58" spans="1:5" ht="15">
      <c r="A58" s="13">
        <v>42887</v>
      </c>
      <c r="B58" s="4">
        <f>13.9805 * CHOOSE(CONTROL!$C$9, $C$13, 100%, $E$13) + CHOOSE(CONTROL!$C$28, 0.0272, 0)</f>
        <v>14.0077</v>
      </c>
      <c r="C58" s="4">
        <f>13.6173 * CHOOSE(CONTROL!$C$9, $C$13, 100%, $E$13) + CHOOSE(CONTROL!$C$28, 0.0272, 0)</f>
        <v>13.644500000000001</v>
      </c>
      <c r="D58" s="4">
        <f>20.6174 * CHOOSE(CONTROL!$C$9, $C$13, 100%, $E$13) + CHOOSE(CONTROL!$C$28, 0.0021, 0)</f>
        <v>20.619499999999999</v>
      </c>
      <c r="E58" s="4">
        <f>81.6159212475922 * CHOOSE(CONTROL!$C$9, $C$13, 100%, $E$13) + CHOOSE(CONTROL!$C$28, 0.0021, 0)</f>
        <v>81.618021247592196</v>
      </c>
    </row>
    <row r="59" spans="1:5" ht="15">
      <c r="A59" s="13">
        <v>42917</v>
      </c>
      <c r="B59" s="4">
        <f>13.9763 * CHOOSE(CONTROL!$C$9, $C$13, 100%, $E$13) + CHOOSE(CONTROL!$C$28, 0.0272, 0)</f>
        <v>14.003500000000001</v>
      </c>
      <c r="C59" s="4">
        <f>13.6131 * CHOOSE(CONTROL!$C$9, $C$13, 100%, $E$13) + CHOOSE(CONTROL!$C$28, 0.0272, 0)</f>
        <v>13.6403</v>
      </c>
      <c r="D59" s="4">
        <f>20.927 * CHOOSE(CONTROL!$C$9, $C$13, 100%, $E$13) + CHOOSE(CONTROL!$C$28, 0.0021, 0)</f>
        <v>20.929099999999998</v>
      </c>
      <c r="E59" s="4">
        <f>81.5899619851089 * CHOOSE(CONTROL!$C$9, $C$13, 100%, $E$13) + CHOOSE(CONTROL!$C$28, 0.0021, 0)</f>
        <v>81.592061985108899</v>
      </c>
    </row>
    <row r="60" spans="1:5" ht="15">
      <c r="A60" s="13">
        <v>42948</v>
      </c>
      <c r="B60" s="4">
        <f>14.2924 * CHOOSE(CONTROL!$C$9, $C$13, 100%, $E$13) + CHOOSE(CONTROL!$C$28, 0.0272, 0)</f>
        <v>14.319600000000001</v>
      </c>
      <c r="C60" s="4">
        <f>13.9292 * CHOOSE(CONTROL!$C$9, $C$13, 100%, $E$13) + CHOOSE(CONTROL!$C$28, 0.0272, 0)</f>
        <v>13.9564</v>
      </c>
      <c r="D60" s="4">
        <f>20.7225 * CHOOSE(CONTROL!$C$9, $C$13, 100%, $E$13) + CHOOSE(CONTROL!$C$28, 0.0021, 0)</f>
        <v>20.724599999999999</v>
      </c>
      <c r="E60" s="4">
        <f>83.5433964869796 * CHOOSE(CONTROL!$C$9, $C$13, 100%, $E$13) + CHOOSE(CONTROL!$C$28, 0.0021, 0)</f>
        <v>83.545496486979602</v>
      </c>
    </row>
    <row r="61" spans="1:5" ht="15">
      <c r="A61" s="13">
        <v>42979</v>
      </c>
      <c r="B61" s="4">
        <f>13.7537 * CHOOSE(CONTROL!$C$9, $C$13, 100%, $E$13) + CHOOSE(CONTROL!$C$28, 0.0272, 0)</f>
        <v>13.780900000000001</v>
      </c>
      <c r="C61" s="4">
        <f>13.3904 * CHOOSE(CONTROL!$C$9, $C$13, 100%, $E$13) + CHOOSE(CONTROL!$C$28, 0.0272, 0)</f>
        <v>13.4176</v>
      </c>
      <c r="D61" s="4">
        <f>20.6259 * CHOOSE(CONTROL!$C$9, $C$13, 100%, $E$13) + CHOOSE(CONTROL!$C$28, 0.0021, 0)</f>
        <v>20.628</v>
      </c>
      <c r="E61" s="4">
        <f>80.2141210734924 * CHOOSE(CONTROL!$C$9, $C$13, 100%, $E$13) + CHOOSE(CONTROL!$C$28, 0.0021, 0)</f>
        <v>80.216221073492392</v>
      </c>
    </row>
    <row r="62" spans="1:5" ht="15">
      <c r="A62" s="13">
        <v>43009</v>
      </c>
      <c r="B62" s="4">
        <f>13.3224 * CHOOSE(CONTROL!$C$9, $C$13, 100%, $E$13) + CHOOSE(CONTROL!$C$28, 0.0272, 0)</f>
        <v>13.349600000000001</v>
      </c>
      <c r="C62" s="4">
        <f>12.9591 * CHOOSE(CONTROL!$C$9, $C$13, 100%, $E$13) + CHOOSE(CONTROL!$C$28, 0.0272, 0)</f>
        <v>12.9863</v>
      </c>
      <c r="D62" s="4">
        <f>20.3672 * CHOOSE(CONTROL!$C$9, $C$13, 100%, $E$13) + CHOOSE(CONTROL!$C$28, 0.0021, 0)</f>
        <v>20.369299999999999</v>
      </c>
      <c r="E62" s="4">
        <f>77.5489701252037 * CHOOSE(CONTROL!$C$9, $C$13, 100%, $E$13) + CHOOSE(CONTROL!$C$28, 0.0021, 0)</f>
        <v>77.551070125203694</v>
      </c>
    </row>
    <row r="63" spans="1:5" ht="15">
      <c r="A63" s="13">
        <v>43040</v>
      </c>
      <c r="B63" s="4">
        <f>13.0446 * CHOOSE(CONTROL!$C$9, $C$13, 100%, $E$13) + CHOOSE(CONTROL!$C$28, 0.0272, 0)</f>
        <v>13.071800000000001</v>
      </c>
      <c r="C63" s="4">
        <f>12.6814 * CHOOSE(CONTROL!$C$9, $C$13, 100%, $E$13) + CHOOSE(CONTROL!$C$28, 0.0272, 0)</f>
        <v>12.708600000000001</v>
      </c>
      <c r="D63" s="4">
        <f>20.2783 * CHOOSE(CONTROL!$C$9, $C$13, 100%, $E$13) + CHOOSE(CONTROL!$C$28, 0.0021, 0)</f>
        <v>20.2804</v>
      </c>
      <c r="E63" s="4">
        <f>75.8324138934935 * CHOOSE(CONTROL!$C$9, $C$13, 100%, $E$13) + CHOOSE(CONTROL!$C$28, 0.0021, 0)</f>
        <v>75.834513893493494</v>
      </c>
    </row>
    <row r="64" spans="1:5" ht="15">
      <c r="A64" s="13">
        <v>43070</v>
      </c>
      <c r="B64" s="4">
        <f>12.8525 * CHOOSE(CONTROL!$C$9, $C$13, 100%, $E$13) + CHOOSE(CONTROL!$C$28, 0.0272, 0)</f>
        <v>12.8797</v>
      </c>
      <c r="C64" s="4">
        <f>12.4892 * CHOOSE(CONTROL!$C$9, $C$13, 100%, $E$13) + CHOOSE(CONTROL!$C$28, 0.0272, 0)</f>
        <v>12.516400000000001</v>
      </c>
      <c r="D64" s="4">
        <f>19.6235 * CHOOSE(CONTROL!$C$9, $C$13, 100%, $E$13) + CHOOSE(CONTROL!$C$28, 0.0021, 0)</f>
        <v>19.625599999999999</v>
      </c>
      <c r="E64" s="4">
        <f>74.6447776348811 * CHOOSE(CONTROL!$C$9, $C$13, 100%, $E$13) + CHOOSE(CONTROL!$C$28, 0.0021, 0)</f>
        <v>74.646877634881093</v>
      </c>
    </row>
    <row r="65" spans="1:5" ht="15">
      <c r="A65" s="13">
        <v>43101</v>
      </c>
      <c r="B65" s="4">
        <f>12.3343 * CHOOSE(CONTROL!$C$9, $C$13, 100%, $E$13) + CHOOSE(CONTROL!$C$28, 0.0272, 0)</f>
        <v>12.361500000000001</v>
      </c>
      <c r="C65" s="4">
        <f>11.971 * CHOOSE(CONTROL!$C$9, $C$13, 100%, $E$13) + CHOOSE(CONTROL!$C$28, 0.0272, 0)</f>
        <v>11.998200000000001</v>
      </c>
      <c r="D65" s="4">
        <f>19.1726 * CHOOSE(CONTROL!$C$9, $C$13, 100%, $E$13) + CHOOSE(CONTROL!$C$28, 0.0021, 0)</f>
        <v>19.174699999999998</v>
      </c>
      <c r="E65" s="4">
        <f>73.1806421553193 * CHOOSE(CONTROL!$C$9, $C$13, 100%, $E$13) + CHOOSE(CONTROL!$C$28, 0.0021, 0)</f>
        <v>73.182742155319303</v>
      </c>
    </row>
    <row r="66" spans="1:5" ht="15">
      <c r="A66" s="13">
        <v>43132</v>
      </c>
      <c r="B66" s="4">
        <f>12.6088 * CHOOSE(CONTROL!$C$9, $C$13, 100%, $E$13) + CHOOSE(CONTROL!$C$28, 0.0272, 0)</f>
        <v>12.636000000000001</v>
      </c>
      <c r="C66" s="4">
        <f>12.2455 * CHOOSE(CONTROL!$C$9, $C$13, 100%, $E$13) + CHOOSE(CONTROL!$C$28, 0.0272, 0)</f>
        <v>12.2727</v>
      </c>
      <c r="D66" s="4">
        <f>19.784 * CHOOSE(CONTROL!$C$9, $C$13, 100%, $E$13) + CHOOSE(CONTROL!$C$28, 0.0021, 0)</f>
        <v>19.786099999999998</v>
      </c>
      <c r="E66" s="4">
        <f>74.9182389983701 * CHOOSE(CONTROL!$C$9, $C$13, 100%, $E$13) + CHOOSE(CONTROL!$C$28, 0.0021, 0)</f>
        <v>74.920338998370099</v>
      </c>
    </row>
    <row r="67" spans="1:5" ht="15">
      <c r="A67" s="13">
        <v>43160</v>
      </c>
      <c r="B67" s="4">
        <f>13.3296 * CHOOSE(CONTROL!$C$9, $C$13, 100%, $E$13) + CHOOSE(CONTROL!$C$28, 0.0272, 0)</f>
        <v>13.3568</v>
      </c>
      <c r="C67" s="4">
        <f>12.9663 * CHOOSE(CONTROL!$C$9, $C$13, 100%, $E$13) + CHOOSE(CONTROL!$C$28, 0.0272, 0)</f>
        <v>12.993500000000001</v>
      </c>
      <c r="D67" s="4">
        <f>20.7409 * CHOOSE(CONTROL!$C$9, $C$13, 100%, $E$13) + CHOOSE(CONTROL!$C$28, 0.0021, 0)</f>
        <v>20.742999999999999</v>
      </c>
      <c r="E67" s="4">
        <f>79.4812606497259 * CHOOSE(CONTROL!$C$9, $C$13, 100%, $E$13) + CHOOSE(CONTROL!$C$28, 0.0021, 0)</f>
        <v>79.483360649725896</v>
      </c>
    </row>
    <row r="68" spans="1:5" ht="15">
      <c r="A68" s="13">
        <v>43191</v>
      </c>
      <c r="B68" s="4">
        <f>13.8418 * CHOOSE(CONTROL!$C$9, $C$13, 100%, $E$13) + CHOOSE(CONTROL!$C$28, 0.0272, 0)</f>
        <v>13.869</v>
      </c>
      <c r="C68" s="4">
        <f>13.4785 * CHOOSE(CONTROL!$C$9, $C$13, 100%, $E$13) + CHOOSE(CONTROL!$C$28, 0.0272, 0)</f>
        <v>13.505700000000001</v>
      </c>
      <c r="D68" s="4">
        <f>21.2922 * CHOOSE(CONTROL!$C$9, $C$13, 100%, $E$13) + CHOOSE(CONTROL!$C$28, 0.0021, 0)</f>
        <v>21.2943</v>
      </c>
      <c r="E68" s="4">
        <f>82.7233483432731 * CHOOSE(CONTROL!$C$9, $C$13, 100%, $E$13) + CHOOSE(CONTROL!$C$28, 0.0021, 0)</f>
        <v>82.725448343273101</v>
      </c>
    </row>
    <row r="69" spans="1:5" ht="15">
      <c r="A69" s="13">
        <v>43221</v>
      </c>
      <c r="B69" s="4">
        <f>14.1547 * CHOOSE(CONTROL!$C$9, $C$13, 100%, $E$13) + CHOOSE(CONTROL!$C$28, 0.0272, 0)</f>
        <v>14.181900000000001</v>
      </c>
      <c r="C69" s="4">
        <f>13.7914 * CHOOSE(CONTROL!$C$9, $C$13, 100%, $E$13) + CHOOSE(CONTROL!$C$28, 0.0272, 0)</f>
        <v>13.8186</v>
      </c>
      <c r="D69" s="4">
        <f>21.0743 * CHOOSE(CONTROL!$C$9, $C$13, 100%, $E$13) + CHOOSE(CONTROL!$C$28, 0.0021, 0)</f>
        <v>21.0764</v>
      </c>
      <c r="E69" s="4">
        <f>84.7041862220329 * CHOOSE(CONTROL!$C$9, $C$13, 100%, $E$13) + CHOOSE(CONTROL!$C$28, 0.0021, 0)</f>
        <v>84.706286222032901</v>
      </c>
    </row>
    <row r="70" spans="1:5" ht="15">
      <c r="A70" s="13">
        <v>43252</v>
      </c>
      <c r="B70" s="4">
        <f>14.1971 * CHOOSE(CONTROL!$C$9, $C$13, 100%, $E$13) + CHOOSE(CONTROL!$C$28, 0.0272, 0)</f>
        <v>14.224300000000001</v>
      </c>
      <c r="C70" s="4">
        <f>13.8338 * CHOOSE(CONTROL!$C$9, $C$13, 100%, $E$13) + CHOOSE(CONTROL!$C$28, 0.0272, 0)</f>
        <v>13.861000000000001</v>
      </c>
      <c r="D70" s="4">
        <f>21.2518 * CHOOSE(CONTROL!$C$9, $C$13, 100%, $E$13) + CHOOSE(CONTROL!$C$28, 0.0021, 0)</f>
        <v>21.253899999999998</v>
      </c>
      <c r="E70" s="4">
        <f>84.9722018076752 * CHOOSE(CONTROL!$C$9, $C$13, 100%, $E$13) + CHOOSE(CONTROL!$C$28, 0.0021, 0)</f>
        <v>84.974301807675204</v>
      </c>
    </row>
    <row r="71" spans="1:5" ht="15">
      <c r="A71" s="13">
        <v>43282</v>
      </c>
      <c r="B71" s="4">
        <f>14.1928 * CHOOSE(CONTROL!$C$9, $C$13, 100%, $E$13) + CHOOSE(CONTROL!$C$28, 0.0272, 0)</f>
        <v>14.22</v>
      </c>
      <c r="C71" s="4">
        <f>13.8295 * CHOOSE(CONTROL!$C$9, $C$13, 100%, $E$13) + CHOOSE(CONTROL!$C$28, 0.0272, 0)</f>
        <v>13.8567</v>
      </c>
      <c r="D71" s="4">
        <f>21.5719 * CHOOSE(CONTROL!$C$9, $C$13, 100%, $E$13) + CHOOSE(CONTROL!$C$28, 0.0021, 0)</f>
        <v>21.573999999999998</v>
      </c>
      <c r="E71" s="4">
        <f>84.9451750259298 * CHOOSE(CONTROL!$C$9, $C$13, 100%, $E$13) + CHOOSE(CONTROL!$C$28, 0.0021, 0)</f>
        <v>84.947275025929798</v>
      </c>
    </row>
    <row r="72" spans="1:5" ht="15">
      <c r="A72" s="13">
        <v>43313</v>
      </c>
      <c r="B72" s="4">
        <f>14.5141 * CHOOSE(CONTROL!$C$9, $C$13, 100%, $E$13) + CHOOSE(CONTROL!$C$28, 0.0272, 0)</f>
        <v>14.5413</v>
      </c>
      <c r="C72" s="4">
        <f>14.1508 * CHOOSE(CONTROL!$C$9, $C$13, 100%, $E$13) + CHOOSE(CONTROL!$C$28, 0.0272, 0)</f>
        <v>14.178000000000001</v>
      </c>
      <c r="D72" s="4">
        <f>21.3605 * CHOOSE(CONTROL!$C$9, $C$13, 100%, $E$13) + CHOOSE(CONTROL!$C$28, 0.0021, 0)</f>
        <v>21.362599999999997</v>
      </c>
      <c r="E72" s="4">
        <f>86.9789403522744 * CHOOSE(CONTROL!$C$9, $C$13, 100%, $E$13) + CHOOSE(CONTROL!$C$28, 0.0021, 0)</f>
        <v>86.981040352274405</v>
      </c>
    </row>
    <row r="73" spans="1:5" ht="15">
      <c r="A73" s="13">
        <v>43344</v>
      </c>
      <c r="B73" s="4">
        <f>13.9665 * CHOOSE(CONTROL!$C$9, $C$13, 100%, $E$13) + CHOOSE(CONTROL!$C$28, 0.0272, 0)</f>
        <v>13.9937</v>
      </c>
      <c r="C73" s="4">
        <f>13.6032 * CHOOSE(CONTROL!$C$9, $C$13, 100%, $E$13) + CHOOSE(CONTROL!$C$28, 0.0272, 0)</f>
        <v>13.6304</v>
      </c>
      <c r="D73" s="4">
        <f>21.2606 * CHOOSE(CONTROL!$C$9, $C$13, 100%, $E$13) + CHOOSE(CONTROL!$C$28, 0.0021, 0)</f>
        <v>21.262699999999999</v>
      </c>
      <c r="E73" s="4">
        <f>83.5127555934213 * CHOOSE(CONTROL!$C$9, $C$13, 100%, $E$13) + CHOOSE(CONTROL!$C$28, 0.0021, 0)</f>
        <v>83.514855593421302</v>
      </c>
    </row>
    <row r="74" spans="1:5" ht="15">
      <c r="A74" s="13">
        <v>43374</v>
      </c>
      <c r="B74" s="4">
        <f>13.5282 * CHOOSE(CONTROL!$C$9, $C$13, 100%, $E$13) + CHOOSE(CONTROL!$C$28, 0.0272, 0)</f>
        <v>13.555400000000001</v>
      </c>
      <c r="C74" s="4">
        <f>13.1649 * CHOOSE(CONTROL!$C$9, $C$13, 100%, $E$13) + CHOOSE(CONTROL!$C$28, 0.0272, 0)</f>
        <v>13.1921</v>
      </c>
      <c r="D74" s="4">
        <f>20.9931 * CHOOSE(CONTROL!$C$9, $C$13, 100%, $E$13) + CHOOSE(CONTROL!$C$28, 0.0021, 0)</f>
        <v>20.995199999999997</v>
      </c>
      <c r="E74" s="4">
        <f>80.738006000889 * CHOOSE(CONTROL!$C$9, $C$13, 100%, $E$13) + CHOOSE(CONTROL!$C$28, 0.0021, 0)</f>
        <v>80.740106000889</v>
      </c>
    </row>
    <row r="75" spans="1:5" ht="15">
      <c r="A75" s="13">
        <v>43405</v>
      </c>
      <c r="B75" s="4">
        <f>13.2458 * CHOOSE(CONTROL!$C$9, $C$13, 100%, $E$13) + CHOOSE(CONTROL!$C$28, 0.0272, 0)</f>
        <v>13.273</v>
      </c>
      <c r="C75" s="4">
        <f>12.8825 * CHOOSE(CONTROL!$C$9, $C$13, 100%, $E$13) + CHOOSE(CONTROL!$C$28, 0.0272, 0)</f>
        <v>12.909700000000001</v>
      </c>
      <c r="D75" s="4">
        <f>20.9012 * CHOOSE(CONTROL!$C$9, $C$13, 100%, $E$13) + CHOOSE(CONTROL!$C$28, 0.0021, 0)</f>
        <v>20.903299999999998</v>
      </c>
      <c r="E75" s="4">
        <f>78.9508600579715 * CHOOSE(CONTROL!$C$9, $C$13, 100%, $E$13) + CHOOSE(CONTROL!$C$28, 0.0021, 0)</f>
        <v>78.952960057971495</v>
      </c>
    </row>
    <row r="76" spans="1:5" ht="15">
      <c r="A76" s="13">
        <v>43435</v>
      </c>
      <c r="B76" s="4">
        <f>13.0505 * CHOOSE(CONTROL!$C$9, $C$13, 100%, $E$13) + CHOOSE(CONTROL!$C$28, 0.0272, 0)</f>
        <v>13.0777</v>
      </c>
      <c r="C76" s="4">
        <f>12.6872 * CHOOSE(CONTROL!$C$9, $C$13, 100%, $E$13) + CHOOSE(CONTROL!$C$28, 0.0272, 0)</f>
        <v>12.714400000000001</v>
      </c>
      <c r="D76" s="4">
        <f>20.2243 * CHOOSE(CONTROL!$C$9, $C$13, 100%, $E$13) + CHOOSE(CONTROL!$C$28, 0.0021, 0)</f>
        <v>20.226399999999998</v>
      </c>
      <c r="E76" s="4">
        <f>77.7143847931175 * CHOOSE(CONTROL!$C$9, $C$13, 100%, $E$13) + CHOOSE(CONTROL!$C$28, 0.0021, 0)</f>
        <v>77.716484793117502</v>
      </c>
    </row>
    <row r="77" spans="1:5" ht="15">
      <c r="A77" s="13">
        <v>43466</v>
      </c>
      <c r="B77" s="4">
        <f>13.5338 * CHOOSE(CONTROL!$C$9, $C$13, 100%, $E$13) + CHOOSE(CONTROL!$C$28, 0.0272, 0)</f>
        <v>13.561</v>
      </c>
      <c r="C77" s="4">
        <f>13.1705 * CHOOSE(CONTROL!$C$9, $C$13, 100%, $E$13) + CHOOSE(CONTROL!$C$28, 0.0272, 0)</f>
        <v>13.197700000000001</v>
      </c>
      <c r="D77" s="4">
        <f>20.8303 * CHOOSE(CONTROL!$C$9, $C$13, 100%, $E$13) + CHOOSE(CONTROL!$C$28, 0.0021, 0)</f>
        <v>20.8324</v>
      </c>
      <c r="E77" s="4">
        <f>78.4539365273861 * CHOOSE(CONTROL!$C$9, $C$13, 100%, $E$13) + CHOOSE(CONTROL!$C$28, 0.0021, 0)</f>
        <v>78.456036527386104</v>
      </c>
    </row>
    <row r="78" spans="1:5" ht="15">
      <c r="A78" s="13">
        <v>43497</v>
      </c>
      <c r="B78" s="4">
        <f>13.8367 * CHOOSE(CONTROL!$C$9, $C$13, 100%, $E$13) + CHOOSE(CONTROL!$C$28, 0.0272, 0)</f>
        <v>13.863900000000001</v>
      </c>
      <c r="C78" s="4">
        <f>13.4735 * CHOOSE(CONTROL!$C$9, $C$13, 100%, $E$13) + CHOOSE(CONTROL!$C$28, 0.0272, 0)</f>
        <v>13.5007</v>
      </c>
      <c r="D78" s="4">
        <f>21.5001 * CHOOSE(CONTROL!$C$9, $C$13, 100%, $E$13) + CHOOSE(CONTROL!$C$28, 0.0021, 0)</f>
        <v>21.502199999999998</v>
      </c>
      <c r="E78" s="4">
        <f>80.3167421604054 * CHOOSE(CONTROL!$C$9, $C$13, 100%, $E$13) + CHOOSE(CONTROL!$C$28, 0.0021, 0)</f>
        <v>80.318842160405396</v>
      </c>
    </row>
    <row r="79" spans="1:5" ht="15">
      <c r="A79" s="13">
        <v>43525</v>
      </c>
      <c r="B79" s="4">
        <f>14.6324 * CHOOSE(CONTROL!$C$9, $C$13, 100%, $E$13) + CHOOSE(CONTROL!$C$28, 0.0272, 0)</f>
        <v>14.659600000000001</v>
      </c>
      <c r="C79" s="4">
        <f>14.2691 * CHOOSE(CONTROL!$C$9, $C$13, 100%, $E$13) + CHOOSE(CONTROL!$C$28, 0.0272, 0)</f>
        <v>14.2963</v>
      </c>
      <c r="D79" s="4">
        <f>22.5487 * CHOOSE(CONTROL!$C$9, $C$13, 100%, $E$13) + CHOOSE(CONTROL!$C$28, 0.0021, 0)</f>
        <v>22.550799999999999</v>
      </c>
      <c r="E79" s="4">
        <f>85.2085687482175 * CHOOSE(CONTROL!$C$9, $C$13, 100%, $E$13) + CHOOSE(CONTROL!$C$28, 0.0021, 0)</f>
        <v>85.2106687482175</v>
      </c>
    </row>
    <row r="80" spans="1:5" ht="15">
      <c r="A80" s="13">
        <v>43556</v>
      </c>
      <c r="B80" s="4">
        <f>15.1977 * CHOOSE(CONTROL!$C$9, $C$13, 100%, $E$13) + CHOOSE(CONTROL!$C$28, 0.0272, 0)</f>
        <v>15.2249</v>
      </c>
      <c r="C80" s="4">
        <f>14.8344 * CHOOSE(CONTROL!$C$9, $C$13, 100%, $E$13) + CHOOSE(CONTROL!$C$28, 0.0272, 0)</f>
        <v>14.861600000000001</v>
      </c>
      <c r="D80" s="4">
        <f>23.1527 * CHOOSE(CONTROL!$C$9, $C$13, 100%, $E$13) + CHOOSE(CONTROL!$C$28, 0.0021, 0)</f>
        <v>23.154799999999998</v>
      </c>
      <c r="E80" s="4">
        <f>88.6842767310189 * CHOOSE(CONTROL!$C$9, $C$13, 100%, $E$13) + CHOOSE(CONTROL!$C$28, 0.0021, 0)</f>
        <v>88.686376731018896</v>
      </c>
    </row>
    <row r="81" spans="1:5" ht="15">
      <c r="A81" s="13">
        <v>43586</v>
      </c>
      <c r="B81" s="4">
        <f>15.5431 * CHOOSE(CONTROL!$C$9, $C$13, 100%, $E$13) + CHOOSE(CONTROL!$C$28, 0.0272, 0)</f>
        <v>15.570300000000001</v>
      </c>
      <c r="C81" s="4">
        <f>15.1798 * CHOOSE(CONTROL!$C$9, $C$13, 100%, $E$13) + CHOOSE(CONTROL!$C$28, 0.0272, 0)</f>
        <v>15.207000000000001</v>
      </c>
      <c r="D81" s="4">
        <f>22.914 * CHOOSE(CONTROL!$C$9, $C$13, 100%, $E$13) + CHOOSE(CONTROL!$C$28, 0.0021, 0)</f>
        <v>22.9161</v>
      </c>
      <c r="E81" s="4">
        <f>90.807851007416 * CHOOSE(CONTROL!$C$9, $C$13, 100%, $E$13) + CHOOSE(CONTROL!$C$28, 0.0021, 0)</f>
        <v>90.809951007416004</v>
      </c>
    </row>
    <row r="82" spans="1:5" ht="15">
      <c r="A82" s="13">
        <v>43617</v>
      </c>
      <c r="B82" s="4">
        <f>15.5898 * CHOOSE(CONTROL!$C$9, $C$13, 100%, $E$13) + CHOOSE(CONTROL!$C$28, 0.0272, 0)</f>
        <v>15.617000000000001</v>
      </c>
      <c r="C82" s="4">
        <f>15.2265 * CHOOSE(CONTROL!$C$9, $C$13, 100%, $E$13) + CHOOSE(CONTROL!$C$28, 0.0272, 0)</f>
        <v>15.2537</v>
      </c>
      <c r="D82" s="4">
        <f>23.1084 * CHOOSE(CONTROL!$C$9, $C$13, 100%, $E$13) + CHOOSE(CONTROL!$C$28, 0.0021, 0)</f>
        <v>23.110499999999998</v>
      </c>
      <c r="E82" s="4">
        <f>91.0951794200269 * CHOOSE(CONTROL!$C$9, $C$13, 100%, $E$13) + CHOOSE(CONTROL!$C$28, 0.0021, 0)</f>
        <v>91.097279420026894</v>
      </c>
    </row>
    <row r="83" spans="1:5" ht="15">
      <c r="A83" s="13">
        <v>43647</v>
      </c>
      <c r="B83" s="4">
        <f>15.5851 * CHOOSE(CONTROL!$C$9, $C$13, 100%, $E$13) + CHOOSE(CONTROL!$C$28, 0.0272, 0)</f>
        <v>15.612300000000001</v>
      </c>
      <c r="C83" s="4">
        <f>15.2218 * CHOOSE(CONTROL!$C$9, $C$13, 100%, $E$13) + CHOOSE(CONTROL!$C$28, 0.0272, 0)</f>
        <v>15.249000000000001</v>
      </c>
      <c r="D83" s="4">
        <f>23.4592 * CHOOSE(CONTROL!$C$9, $C$13, 100%, $E$13) + CHOOSE(CONTROL!$C$28, 0.0021, 0)</f>
        <v>23.461299999999998</v>
      </c>
      <c r="E83" s="4">
        <f>91.0662051263183 * CHOOSE(CONTROL!$C$9, $C$13, 100%, $E$13) + CHOOSE(CONTROL!$C$28, 0.0021, 0)</f>
        <v>91.068305126318293</v>
      </c>
    </row>
    <row r="84" spans="1:5" ht="15">
      <c r="A84" s="13">
        <v>43678</v>
      </c>
      <c r="B84" s="4">
        <f>15.9397 * CHOOSE(CONTROL!$C$9, $C$13, 100%, $E$13) + CHOOSE(CONTROL!$C$28, 0.0272, 0)</f>
        <v>15.966900000000001</v>
      </c>
      <c r="C84" s="4">
        <f>15.5765 * CHOOSE(CONTROL!$C$9, $C$13, 100%, $E$13) + CHOOSE(CONTROL!$C$28, 0.0272, 0)</f>
        <v>15.6037</v>
      </c>
      <c r="D84" s="4">
        <f>23.2275 * CHOOSE(CONTROL!$C$9, $C$13, 100%, $E$13) + CHOOSE(CONTROL!$C$28, 0.0021, 0)</f>
        <v>23.229599999999998</v>
      </c>
      <c r="E84" s="4">
        <f>93.2465207278949 * CHOOSE(CONTROL!$C$9, $C$13, 100%, $E$13) + CHOOSE(CONTROL!$C$28, 0.0021, 0)</f>
        <v>93.248620727894902</v>
      </c>
    </row>
    <row r="85" spans="1:5" ht="15">
      <c r="A85" s="13">
        <v>43709</v>
      </c>
      <c r="B85" s="4">
        <f>15.3353 * CHOOSE(CONTROL!$C$9, $C$13, 100%, $E$13) + CHOOSE(CONTROL!$C$28, 0.0272, 0)</f>
        <v>15.362500000000001</v>
      </c>
      <c r="C85" s="4">
        <f>14.9721 * CHOOSE(CONTROL!$C$9, $C$13, 100%, $E$13) + CHOOSE(CONTROL!$C$28, 0.0272, 0)</f>
        <v>14.9993</v>
      </c>
      <c r="D85" s="4">
        <f>23.1181 * CHOOSE(CONTROL!$C$9, $C$13, 100%, $E$13) + CHOOSE(CONTROL!$C$28, 0.0021, 0)</f>
        <v>23.120199999999997</v>
      </c>
      <c r="E85" s="4">
        <f>89.5305675597593 * CHOOSE(CONTROL!$C$9, $C$13, 100%, $E$13) + CHOOSE(CONTROL!$C$28, 0.0021, 0)</f>
        <v>89.532667559759304</v>
      </c>
    </row>
    <row r="86" spans="1:5" ht="15">
      <c r="A86" s="13">
        <v>43739</v>
      </c>
      <c r="B86" s="4">
        <f>14.8515 * CHOOSE(CONTROL!$C$9, $C$13, 100%, $E$13) + CHOOSE(CONTROL!$C$28, 0.0272, 0)</f>
        <v>14.8787</v>
      </c>
      <c r="C86" s="4">
        <f>14.4882 * CHOOSE(CONTROL!$C$9, $C$13, 100%, $E$13) + CHOOSE(CONTROL!$C$28, 0.0272, 0)</f>
        <v>14.515400000000001</v>
      </c>
      <c r="D86" s="4">
        <f>22.8251 * CHOOSE(CONTROL!$C$9, $C$13, 100%, $E$13) + CHOOSE(CONTROL!$C$28, 0.0021, 0)</f>
        <v>22.827199999999998</v>
      </c>
      <c r="E86" s="4">
        <f>86.5558734056702 * CHOOSE(CONTROL!$C$9, $C$13, 100%, $E$13) + CHOOSE(CONTROL!$C$28, 0.0021, 0)</f>
        <v>86.557973405670197</v>
      </c>
    </row>
    <row r="87" spans="1:5" ht="15">
      <c r="A87" s="13">
        <v>43770</v>
      </c>
      <c r="B87" s="4">
        <f>14.5399 * CHOOSE(CONTROL!$C$9, $C$13, 100%, $E$13) + CHOOSE(CONTROL!$C$28, 0.0272, 0)</f>
        <v>14.5671</v>
      </c>
      <c r="C87" s="4">
        <f>14.1766 * CHOOSE(CONTROL!$C$9, $C$13, 100%, $E$13) + CHOOSE(CONTROL!$C$28, 0.0272, 0)</f>
        <v>14.203800000000001</v>
      </c>
      <c r="D87" s="4">
        <f>22.7243 * CHOOSE(CONTROL!$C$9, $C$13, 100%, $E$13) + CHOOSE(CONTROL!$C$28, 0.0021, 0)</f>
        <v>22.726399999999998</v>
      </c>
      <c r="E87" s="4">
        <f>84.6399482341851 * CHOOSE(CONTROL!$C$9, $C$13, 100%, $E$13) + CHOOSE(CONTROL!$C$28, 0.0021, 0)</f>
        <v>84.642048234185097</v>
      </c>
    </row>
    <row r="88" spans="1:5" ht="15">
      <c r="A88" s="13">
        <v>43800</v>
      </c>
      <c r="B88" s="4">
        <f>14.3243 * CHOOSE(CONTROL!$C$9, $C$13, 100%, $E$13) + CHOOSE(CONTROL!$C$28, 0.0272, 0)</f>
        <v>14.3515</v>
      </c>
      <c r="C88" s="4">
        <f>13.961 * CHOOSE(CONTROL!$C$9, $C$13, 100%, $E$13) + CHOOSE(CONTROL!$C$28, 0.0272, 0)</f>
        <v>13.988200000000001</v>
      </c>
      <c r="D88" s="4">
        <f>21.9827 * CHOOSE(CONTROL!$C$9, $C$13, 100%, $E$13) + CHOOSE(CONTROL!$C$28, 0.0021, 0)</f>
        <v>21.9848</v>
      </c>
      <c r="E88" s="4">
        <f>83.3143742970139 * CHOOSE(CONTROL!$C$9, $C$13, 100%, $E$13) + CHOOSE(CONTROL!$C$28, 0.0021, 0)</f>
        <v>83.316474297013897</v>
      </c>
    </row>
    <row r="89" spans="1:5" ht="15">
      <c r="A89" s="13">
        <v>43831</v>
      </c>
      <c r="B89" s="4">
        <f>14.6589 * CHOOSE(CONTROL!$C$9, $C$13, 100%, $E$13) + CHOOSE(CONTROL!$C$28, 0.0272, 0)</f>
        <v>14.6861</v>
      </c>
      <c r="C89" s="4">
        <f>14.2957 * CHOOSE(CONTROL!$C$9, $C$13, 100%, $E$13) + CHOOSE(CONTROL!$C$28, 0.0272, 0)</f>
        <v>14.322900000000001</v>
      </c>
      <c r="D89" s="4">
        <f>22.2733 * CHOOSE(CONTROL!$C$9, $C$13, 100%, $E$13) + CHOOSE(CONTROL!$C$28, 0.0021, 0)</f>
        <v>22.275399999999998</v>
      </c>
      <c r="E89" s="4">
        <f>84.6902413791437 * CHOOSE(CONTROL!$C$9, $C$13, 100%, $E$13) + CHOOSE(CONTROL!$C$28, 0.0021, 0)</f>
        <v>84.692341379143699</v>
      </c>
    </row>
    <row r="90" spans="1:5" ht="15">
      <c r="A90" s="13">
        <v>43862</v>
      </c>
      <c r="B90" s="4">
        <f>14.9886 * CHOOSE(CONTROL!$C$9, $C$13, 100%, $E$13) + CHOOSE(CONTROL!$C$28, 0.0272, 0)</f>
        <v>15.0158</v>
      </c>
      <c r="C90" s="4">
        <f>14.6254 * CHOOSE(CONTROL!$C$9, $C$13, 100%, $E$13) + CHOOSE(CONTROL!$C$28, 0.0272, 0)</f>
        <v>14.652600000000001</v>
      </c>
      <c r="D90" s="4">
        <f>22.994 * CHOOSE(CONTROL!$C$9, $C$13, 100%, $E$13) + CHOOSE(CONTROL!$C$28, 0.0021, 0)</f>
        <v>22.996099999999998</v>
      </c>
      <c r="E90" s="4">
        <f>86.7011214660563 * CHOOSE(CONTROL!$C$9, $C$13, 100%, $E$13) + CHOOSE(CONTROL!$C$28, 0.0021, 0)</f>
        <v>86.703221466056306</v>
      </c>
    </row>
    <row r="91" spans="1:5" ht="15">
      <c r="A91" s="13">
        <v>43891</v>
      </c>
      <c r="B91" s="4">
        <f>15.8544 * CHOOSE(CONTROL!$C$9, $C$13, 100%, $E$13) + CHOOSE(CONTROL!$C$28, 0.0272, 0)</f>
        <v>15.881600000000001</v>
      </c>
      <c r="C91" s="4">
        <f>15.4912 * CHOOSE(CONTROL!$C$9, $C$13, 100%, $E$13) + CHOOSE(CONTROL!$C$28, 0.0272, 0)</f>
        <v>15.5184</v>
      </c>
      <c r="D91" s="4">
        <f>24.1223 * CHOOSE(CONTROL!$C$9, $C$13, 100%, $E$13) + CHOOSE(CONTROL!$C$28, 0.0021, 0)</f>
        <v>24.124399999999998</v>
      </c>
      <c r="E91" s="4">
        <f>91.9817994389468 * CHOOSE(CONTROL!$C$9, $C$13, 100%, $E$13) + CHOOSE(CONTROL!$C$28, 0.0021, 0)</f>
        <v>91.983899438946793</v>
      </c>
    </row>
    <row r="92" spans="1:5" ht="15">
      <c r="A92" s="13">
        <v>43922</v>
      </c>
      <c r="B92" s="4">
        <f>16.4696 * CHOOSE(CONTROL!$C$9, $C$13, 100%, $E$13) + CHOOSE(CONTROL!$C$28, 0.0272, 0)</f>
        <v>16.4968</v>
      </c>
      <c r="C92" s="4">
        <f>16.1063 * CHOOSE(CONTROL!$C$9, $C$13, 100%, $E$13) + CHOOSE(CONTROL!$C$28, 0.0272, 0)</f>
        <v>16.133500000000002</v>
      </c>
      <c r="D92" s="4">
        <f>24.7723 * CHOOSE(CONTROL!$C$9, $C$13, 100%, $E$13) + CHOOSE(CONTROL!$C$28, 0.0021, 0)</f>
        <v>24.7744</v>
      </c>
      <c r="E92" s="4">
        <f>95.7337915129725 * CHOOSE(CONTROL!$C$9, $C$13, 100%, $E$13) + CHOOSE(CONTROL!$C$28, 0.0021, 0)</f>
        <v>95.735891512972501</v>
      </c>
    </row>
    <row r="93" spans="1:5" ht="15">
      <c r="A93" s="13">
        <v>43952</v>
      </c>
      <c r="B93" s="4">
        <f>16.8454 * CHOOSE(CONTROL!$C$9, $C$13, 100%, $E$13) + CHOOSE(CONTROL!$C$28, 0.0272, 0)</f>
        <v>16.872600000000002</v>
      </c>
      <c r="C93" s="4">
        <f>16.4822 * CHOOSE(CONTROL!$C$9, $C$13, 100%, $E$13) + CHOOSE(CONTROL!$C$28, 0.0272, 0)</f>
        <v>16.509399999999999</v>
      </c>
      <c r="D93" s="4">
        <f>24.5154 * CHOOSE(CONTROL!$C$9, $C$13, 100%, $E$13) + CHOOSE(CONTROL!$C$28, 0.0021, 0)</f>
        <v>24.517499999999998</v>
      </c>
      <c r="E93" s="4">
        <f>98.0261687475022 * CHOOSE(CONTROL!$C$9, $C$13, 100%, $E$13) + CHOOSE(CONTROL!$C$28, 0.0021, 0)</f>
        <v>98.028268747502196</v>
      </c>
    </row>
    <row r="94" spans="1:5" ht="15">
      <c r="A94" s="13">
        <v>43983</v>
      </c>
      <c r="B94" s="4">
        <f>16.8963 * CHOOSE(CONTROL!$C$9, $C$13, 100%, $E$13) + CHOOSE(CONTROL!$C$28, 0.0272, 0)</f>
        <v>16.923500000000001</v>
      </c>
      <c r="C94" s="4">
        <f>16.533 * CHOOSE(CONTROL!$C$9, $C$13, 100%, $E$13) + CHOOSE(CONTROL!$C$28, 0.0272, 0)</f>
        <v>16.560200000000002</v>
      </c>
      <c r="D94" s="4">
        <f>24.7246 * CHOOSE(CONTROL!$C$9, $C$13, 100%, $E$13) + CHOOSE(CONTROL!$C$28, 0.0021, 0)</f>
        <v>24.726699999999997</v>
      </c>
      <c r="E94" s="4">
        <f>98.336336900895 * CHOOSE(CONTROL!$C$9, $C$13, 100%, $E$13) + CHOOSE(CONTROL!$C$28, 0.0021, 0)</f>
        <v>98.338436900895005</v>
      </c>
    </row>
    <row r="95" spans="1:5" ht="15">
      <c r="A95" s="13">
        <v>44013</v>
      </c>
      <c r="B95" s="4">
        <f>16.8912 * CHOOSE(CONTROL!$C$9, $C$13, 100%, $E$13) + CHOOSE(CONTROL!$C$28, 0.0272, 0)</f>
        <v>16.918400000000002</v>
      </c>
      <c r="C95" s="4">
        <f>16.5279 * CHOOSE(CONTROL!$C$9, $C$13, 100%, $E$13) + CHOOSE(CONTROL!$C$28, 0.0272, 0)</f>
        <v>16.555099999999999</v>
      </c>
      <c r="D95" s="4">
        <f>25.102 * CHOOSE(CONTROL!$C$9, $C$13, 100%, $E$13) + CHOOSE(CONTROL!$C$28, 0.0021, 0)</f>
        <v>25.104099999999999</v>
      </c>
      <c r="E95" s="4">
        <f>98.3050594400487 * CHOOSE(CONTROL!$C$9, $C$13, 100%, $E$13) + CHOOSE(CONTROL!$C$28, 0.0021, 0)</f>
        <v>98.307159440048693</v>
      </c>
    </row>
    <row r="96" spans="1:5" ht="15">
      <c r="A96" s="13">
        <v>44044</v>
      </c>
      <c r="B96" s="4">
        <f>17.2771 * CHOOSE(CONTROL!$C$9, $C$13, 100%, $E$13) + CHOOSE(CONTROL!$C$28, 0.0272, 0)</f>
        <v>17.304300000000001</v>
      </c>
      <c r="C96" s="4">
        <f>16.9138 * CHOOSE(CONTROL!$C$9, $C$13, 100%, $E$13) + CHOOSE(CONTROL!$C$28, 0.0272, 0)</f>
        <v>16.940999999999999</v>
      </c>
      <c r="D96" s="4">
        <f>24.8528 * CHOOSE(CONTROL!$C$9, $C$13, 100%, $E$13) + CHOOSE(CONTROL!$C$28, 0.0021, 0)</f>
        <v>24.854899999999997</v>
      </c>
      <c r="E96" s="4">
        <f>100.658688368736 * CHOOSE(CONTROL!$C$9, $C$13, 100%, $E$13) + CHOOSE(CONTROL!$C$28, 0.0021, 0)</f>
        <v>100.66078836873599</v>
      </c>
    </row>
    <row r="97" spans="1:5" ht="15">
      <c r="A97" s="13">
        <v>44075</v>
      </c>
      <c r="B97" s="4">
        <f>16.6194 * CHOOSE(CONTROL!$C$9, $C$13, 100%, $E$13) + CHOOSE(CONTROL!$C$28, 0.0272, 0)</f>
        <v>16.646599999999999</v>
      </c>
      <c r="C97" s="4">
        <f>16.2561 * CHOOSE(CONTROL!$C$9, $C$13, 100%, $E$13) + CHOOSE(CONTROL!$C$28, 0.0272, 0)</f>
        <v>16.283300000000001</v>
      </c>
      <c r="D97" s="4">
        <f>24.735 * CHOOSE(CONTROL!$C$9, $C$13, 100%, $E$13) + CHOOSE(CONTROL!$C$28, 0.0021, 0)</f>
        <v>24.737099999999998</v>
      </c>
      <c r="E97" s="4">
        <f>96.6473540151927 * CHOOSE(CONTROL!$C$9, $C$13, 100%, $E$13) + CHOOSE(CONTROL!$C$28, 0.0021, 0)</f>
        <v>96.649454015192703</v>
      </c>
    </row>
    <row r="98" spans="1:5" ht="15">
      <c r="A98" s="13">
        <v>44105</v>
      </c>
      <c r="B98" s="4">
        <f>16.0929 * CHOOSE(CONTROL!$C$9, $C$13, 100%, $E$13) + CHOOSE(CONTROL!$C$28, 0.0272, 0)</f>
        <v>16.120100000000001</v>
      </c>
      <c r="C98" s="4">
        <f>15.7296 * CHOOSE(CONTROL!$C$9, $C$13, 100%, $E$13) + CHOOSE(CONTROL!$C$28, 0.0272, 0)</f>
        <v>15.7568</v>
      </c>
      <c r="D98" s="4">
        <f>24.4197 * CHOOSE(CONTROL!$C$9, $C$13, 100%, $E$13) + CHOOSE(CONTROL!$C$28, 0.0021, 0)</f>
        <v>24.421799999999998</v>
      </c>
      <c r="E98" s="4">
        <f>93.4362013683017 * CHOOSE(CONTROL!$C$9, $C$13, 100%, $E$13) + CHOOSE(CONTROL!$C$28, 0.0021, 0)</f>
        <v>93.438301368301694</v>
      </c>
    </row>
    <row r="99" spans="1:5" ht="15">
      <c r="A99" s="13">
        <v>44136</v>
      </c>
      <c r="B99" s="4">
        <f>15.7538 * CHOOSE(CONTROL!$C$9, $C$13, 100%, $E$13) + CHOOSE(CONTROL!$C$28, 0.0272, 0)</f>
        <v>15.781000000000001</v>
      </c>
      <c r="C99" s="4">
        <f>15.3905 * CHOOSE(CONTROL!$C$9, $C$13, 100%, $E$13) + CHOOSE(CONTROL!$C$28, 0.0272, 0)</f>
        <v>15.4177</v>
      </c>
      <c r="D99" s="4">
        <f>24.3113 * CHOOSE(CONTROL!$C$9, $C$13, 100%, $E$13) + CHOOSE(CONTROL!$C$28, 0.0021, 0)</f>
        <v>24.313399999999998</v>
      </c>
      <c r="E99" s="4">
        <f>91.3679792698374 * CHOOSE(CONTROL!$C$9, $C$13, 100%, $E$13) + CHOOSE(CONTROL!$C$28, 0.0021, 0)</f>
        <v>91.370079269837404</v>
      </c>
    </row>
    <row r="100" spans="1:5" ht="15">
      <c r="A100" s="13">
        <v>44166</v>
      </c>
      <c r="B100" s="4">
        <f>15.5192 * CHOOSE(CONTROL!$C$9, $C$13, 100%, $E$13) + CHOOSE(CONTROL!$C$28, 0.0272, 0)</f>
        <v>15.5464</v>
      </c>
      <c r="C100" s="4">
        <f>15.1559 * CHOOSE(CONTROL!$C$9, $C$13, 100%, $E$13) + CHOOSE(CONTROL!$C$28, 0.0272, 0)</f>
        <v>15.183100000000001</v>
      </c>
      <c r="D100" s="4">
        <f>23.5132 * CHOOSE(CONTROL!$C$9, $C$13, 100%, $E$13) + CHOOSE(CONTROL!$C$28, 0.0021, 0)</f>
        <v>23.5153</v>
      </c>
      <c r="E100" s="4">
        <f>89.9370354361173 * CHOOSE(CONTROL!$C$9, $C$13, 100%, $E$13) + CHOOSE(CONTROL!$C$28, 0.0021, 0)</f>
        <v>89.939135436117297</v>
      </c>
    </row>
    <row r="101" spans="1:5" ht="15">
      <c r="A101" s="13">
        <v>44197</v>
      </c>
      <c r="B101" s="4">
        <f>15.8485 * CHOOSE(CONTROL!$C$9, $C$13, 100%, $E$13) + CHOOSE(CONTROL!$C$28, 0.0272, 0)</f>
        <v>15.8757</v>
      </c>
      <c r="C101" s="4">
        <f>15.4852 * CHOOSE(CONTROL!$C$9, $C$13, 100%, $E$13) + CHOOSE(CONTROL!$C$28, 0.0272, 0)</f>
        <v>15.512400000000001</v>
      </c>
      <c r="D101" s="4">
        <f>23.7079 * CHOOSE(CONTROL!$C$9, $C$13, 100%, $E$13) + CHOOSE(CONTROL!$C$28, 0.0021, 0)</f>
        <v>23.709999999999997</v>
      </c>
      <c r="E101" s="4">
        <f>90.8374136584761 * CHOOSE(CONTROL!$C$9, $C$13, 100%, $E$13) + CHOOSE(CONTROL!$C$28, 0.0021, 0)</f>
        <v>90.839513658476093</v>
      </c>
    </row>
    <row r="102" spans="1:5" ht="15">
      <c r="A102" s="13">
        <v>44228</v>
      </c>
      <c r="B102" s="4">
        <f>16.2065 * CHOOSE(CONTROL!$C$9, $C$13, 100%, $E$13) + CHOOSE(CONTROL!$C$28, 0.0272, 0)</f>
        <v>16.233699999999999</v>
      </c>
      <c r="C102" s="4">
        <f>15.8432 * CHOOSE(CONTROL!$C$9, $C$13, 100%, $E$13) + CHOOSE(CONTROL!$C$28, 0.0272, 0)</f>
        <v>15.8704</v>
      </c>
      <c r="D102" s="4">
        <f>24.4793 * CHOOSE(CONTROL!$C$9, $C$13, 100%, $E$13) + CHOOSE(CONTROL!$C$28, 0.0021, 0)</f>
        <v>24.481399999999997</v>
      </c>
      <c r="E102" s="4">
        <f>92.9942518407494 * CHOOSE(CONTROL!$C$9, $C$13, 100%, $E$13) + CHOOSE(CONTROL!$C$28, 0.0021, 0)</f>
        <v>92.996351840749398</v>
      </c>
    </row>
    <row r="103" spans="1:5" ht="15">
      <c r="A103" s="13">
        <v>44256</v>
      </c>
      <c r="B103" s="4">
        <f>17.1464 * CHOOSE(CONTROL!$C$9, $C$13, 100%, $E$13) + CHOOSE(CONTROL!$C$28, 0.0272, 0)</f>
        <v>17.1736</v>
      </c>
      <c r="C103" s="4">
        <f>16.7832 * CHOOSE(CONTROL!$C$9, $C$13, 100%, $E$13) + CHOOSE(CONTROL!$C$28, 0.0272, 0)</f>
        <v>16.810400000000001</v>
      </c>
      <c r="D103" s="4">
        <f>25.6868 * CHOOSE(CONTROL!$C$9, $C$13, 100%, $E$13) + CHOOSE(CONTROL!$C$28, 0.0021, 0)</f>
        <v>25.6889</v>
      </c>
      <c r="E103" s="4">
        <f>98.6582235287412 * CHOOSE(CONTROL!$C$9, $C$13, 100%, $E$13) + CHOOSE(CONTROL!$C$28, 0.0021, 0)</f>
        <v>98.660323528741202</v>
      </c>
    </row>
    <row r="104" spans="1:5" ht="15">
      <c r="A104" s="13">
        <v>44287</v>
      </c>
      <c r="B104" s="4">
        <f>17.8143 * CHOOSE(CONTROL!$C$9, $C$13, 100%, $E$13) + CHOOSE(CONTROL!$C$28, 0.0272, 0)</f>
        <v>17.8415</v>
      </c>
      <c r="C104" s="4">
        <f>17.451 * CHOOSE(CONTROL!$C$9, $C$13, 100%, $E$13) + CHOOSE(CONTROL!$C$28, 0.0272, 0)</f>
        <v>17.478200000000001</v>
      </c>
      <c r="D104" s="4">
        <f>26.3824 * CHOOSE(CONTROL!$C$9, $C$13, 100%, $E$13) + CHOOSE(CONTROL!$C$28, 0.0021, 0)</f>
        <v>26.384499999999999</v>
      </c>
      <c r="E104" s="4">
        <f>102.682550895407 * CHOOSE(CONTROL!$C$9, $C$13, 100%, $E$13) + CHOOSE(CONTROL!$C$28, 0.0021, 0)</f>
        <v>102.684650895407</v>
      </c>
    </row>
    <row r="105" spans="1:5" ht="15">
      <c r="A105" s="13">
        <v>44317</v>
      </c>
      <c r="B105" s="4">
        <f>18.2224 * CHOOSE(CONTROL!$C$9, $C$13, 100%, $E$13) + CHOOSE(CONTROL!$C$28, 0.0272, 0)</f>
        <v>18.249600000000001</v>
      </c>
      <c r="C105" s="4">
        <f>17.8591 * CHOOSE(CONTROL!$C$9, $C$13, 100%, $E$13) + CHOOSE(CONTROL!$C$28, 0.0272, 0)</f>
        <v>17.886300000000002</v>
      </c>
      <c r="D105" s="4">
        <f>26.1076 * CHOOSE(CONTROL!$C$9, $C$13, 100%, $E$13) + CHOOSE(CONTROL!$C$28, 0.0021, 0)</f>
        <v>26.1097</v>
      </c>
      <c r="E105" s="4">
        <f>105.141318466773 * CHOOSE(CONTROL!$C$9, $C$13, 100%, $E$13) + CHOOSE(CONTROL!$C$28, 0.0021, 0)</f>
        <v>105.143418466773</v>
      </c>
    </row>
    <row r="106" spans="1:5" ht="15">
      <c r="A106" s="13">
        <v>44348</v>
      </c>
      <c r="B106" s="4">
        <f>18.2776 * CHOOSE(CONTROL!$C$9, $C$13, 100%, $E$13) + CHOOSE(CONTROL!$C$28, 0.0272, 0)</f>
        <v>18.3048</v>
      </c>
      <c r="C106" s="4">
        <f>17.9143 * CHOOSE(CONTROL!$C$9, $C$13, 100%, $E$13) + CHOOSE(CONTROL!$C$28, 0.0272, 0)</f>
        <v>17.941500000000001</v>
      </c>
      <c r="D106" s="4">
        <f>26.3314 * CHOOSE(CONTROL!$C$9, $C$13, 100%, $E$13) + CHOOSE(CONTROL!$C$28, 0.0021, 0)</f>
        <v>26.333499999999997</v>
      </c>
      <c r="E106" s="4">
        <f>105.473999923274 * CHOOSE(CONTROL!$C$9, $C$13, 100%, $E$13) + CHOOSE(CONTROL!$C$28, 0.0021, 0)</f>
        <v>105.47609992327399</v>
      </c>
    </row>
    <row r="107" spans="1:5" ht="15">
      <c r="A107" s="13">
        <v>44378</v>
      </c>
      <c r="B107" s="4">
        <f>18.272 * CHOOSE(CONTROL!$C$9, $C$13, 100%, $E$13) + CHOOSE(CONTROL!$C$28, 0.0272, 0)</f>
        <v>18.299199999999999</v>
      </c>
      <c r="C107" s="4">
        <f>17.9087 * CHOOSE(CONTROL!$C$9, $C$13, 100%, $E$13) + CHOOSE(CONTROL!$C$28, 0.0272, 0)</f>
        <v>17.9359</v>
      </c>
      <c r="D107" s="4">
        <f>26.7353 * CHOOSE(CONTROL!$C$9, $C$13, 100%, $E$13) + CHOOSE(CONTROL!$C$28, 0.0021, 0)</f>
        <v>26.737399999999997</v>
      </c>
      <c r="E107" s="4">
        <f>105.440452213375 * CHOOSE(CONTROL!$C$9, $C$13, 100%, $E$13) + CHOOSE(CONTROL!$C$28, 0.0021, 0)</f>
        <v>105.442552213375</v>
      </c>
    </row>
    <row r="108" spans="1:5" ht="15">
      <c r="A108" s="13">
        <v>44409</v>
      </c>
      <c r="B108" s="4">
        <f>18.691 * CHOOSE(CONTROL!$C$9, $C$13, 100%, $E$13) + CHOOSE(CONTROL!$C$28, 0.0272, 0)</f>
        <v>18.7182</v>
      </c>
      <c r="C108" s="4">
        <f>18.3277 * CHOOSE(CONTROL!$C$9, $C$13, 100%, $E$13) + CHOOSE(CONTROL!$C$28, 0.0272, 0)</f>
        <v>18.354900000000001</v>
      </c>
      <c r="D108" s="4">
        <f>26.4686 * CHOOSE(CONTROL!$C$9, $C$13, 100%, $E$13) + CHOOSE(CONTROL!$C$28, 0.0021, 0)</f>
        <v>26.470699999999997</v>
      </c>
      <c r="E108" s="4">
        <f>107.964917383294 * CHOOSE(CONTROL!$C$9, $C$13, 100%, $E$13) + CHOOSE(CONTROL!$C$28, 0.0021, 0)</f>
        <v>107.96701738329399</v>
      </c>
    </row>
    <row r="109" spans="1:5" ht="15">
      <c r="A109" s="13">
        <v>44440</v>
      </c>
      <c r="B109" s="4">
        <f>17.9769 * CHOOSE(CONTROL!$C$9, $C$13, 100%, $E$13) + CHOOSE(CONTROL!$C$28, 0.0272, 0)</f>
        <v>18.004100000000001</v>
      </c>
      <c r="C109" s="4">
        <f>17.6136 * CHOOSE(CONTROL!$C$9, $C$13, 100%, $E$13) + CHOOSE(CONTROL!$C$28, 0.0272, 0)</f>
        <v>17.640800000000002</v>
      </c>
      <c r="D109" s="4">
        <f>26.3425 * CHOOSE(CONTROL!$C$9, $C$13, 100%, $E$13) + CHOOSE(CONTROL!$C$28, 0.0021, 0)</f>
        <v>26.3446</v>
      </c>
      <c r="E109" s="4">
        <f>103.662423588714 * CHOOSE(CONTROL!$C$9, $C$13, 100%, $E$13) + CHOOSE(CONTROL!$C$28, 0.0021, 0)</f>
        <v>103.664523588714</v>
      </c>
    </row>
    <row r="110" spans="1:5" ht="15">
      <c r="A110" s="13">
        <v>44470</v>
      </c>
      <c r="B110" s="4">
        <f>17.4053 * CHOOSE(CONTROL!$C$9, $C$13, 100%, $E$13) + CHOOSE(CONTROL!$C$28, 0.0272, 0)</f>
        <v>17.432500000000001</v>
      </c>
      <c r="C110" s="4">
        <f>17.0421 * CHOOSE(CONTROL!$C$9, $C$13, 100%, $E$13) + CHOOSE(CONTROL!$C$28, 0.0272, 0)</f>
        <v>17.069300000000002</v>
      </c>
      <c r="D110" s="4">
        <f>26.0051 * CHOOSE(CONTROL!$C$9, $C$13, 100%, $E$13) + CHOOSE(CONTROL!$C$28, 0.0021, 0)</f>
        <v>26.007199999999997</v>
      </c>
      <c r="E110" s="4">
        <f>100.218192039057 * CHOOSE(CONTROL!$C$9, $C$13, 100%, $E$13) + CHOOSE(CONTROL!$C$28, 0.0021, 0)</f>
        <v>100.220292039057</v>
      </c>
    </row>
    <row r="111" spans="1:5" ht="15">
      <c r="A111" s="13">
        <v>44501</v>
      </c>
      <c r="B111" s="4">
        <f>17.0372 * CHOOSE(CONTROL!$C$9, $C$13, 100%, $E$13) + CHOOSE(CONTROL!$C$28, 0.0272, 0)</f>
        <v>17.064399999999999</v>
      </c>
      <c r="C111" s="4">
        <f>16.6739 * CHOOSE(CONTROL!$C$9, $C$13, 100%, $E$13) + CHOOSE(CONTROL!$C$28, 0.0272, 0)</f>
        <v>16.7011</v>
      </c>
      <c r="D111" s="4">
        <f>25.8891 * CHOOSE(CONTROL!$C$9, $C$13, 100%, $E$13) + CHOOSE(CONTROL!$C$28, 0.0021, 0)</f>
        <v>25.891199999999998</v>
      </c>
      <c r="E111" s="4">
        <f>97.9998497219682 * CHOOSE(CONTROL!$C$9, $C$13, 100%, $E$13) + CHOOSE(CONTROL!$C$28, 0.0021, 0)</f>
        <v>98.001949721968202</v>
      </c>
    </row>
    <row r="112" spans="1:5" ht="15">
      <c r="A112" s="13">
        <v>44531</v>
      </c>
      <c r="B112" s="4">
        <f>16.7825 * CHOOSE(CONTROL!$C$9, $C$13, 100%, $E$13) + CHOOSE(CONTROL!$C$28, 0.0272, 0)</f>
        <v>16.809699999999999</v>
      </c>
      <c r="C112" s="4">
        <f>16.4192 * CHOOSE(CONTROL!$C$9, $C$13, 100%, $E$13) + CHOOSE(CONTROL!$C$28, 0.0272, 0)</f>
        <v>16.446400000000001</v>
      </c>
      <c r="D112" s="4">
        <f>25.0349 * CHOOSE(CONTROL!$C$9, $C$13, 100%, $E$13) + CHOOSE(CONTROL!$C$28, 0.0021, 0)</f>
        <v>25.036999999999999</v>
      </c>
      <c r="E112" s="4">
        <f>96.4650419940771 * CHOOSE(CONTROL!$C$9, $C$13, 100%, $E$13) + CHOOSE(CONTROL!$C$28, 0.0021, 0)</f>
        <v>96.467141994077096</v>
      </c>
    </row>
    <row r="113" spans="1:5" ht="15">
      <c r="A113" s="13">
        <v>44562</v>
      </c>
      <c r="B113" s="4">
        <f>16.1542 * CHOOSE(CONTROL!$C$9, $C$13, 100%, $E$13) + CHOOSE(CONTROL!$C$28, 0.0272, 0)</f>
        <v>16.1814</v>
      </c>
      <c r="C113" s="4">
        <f>15.7909 * CHOOSE(CONTROL!$C$9, $C$13, 100%, $E$13) + CHOOSE(CONTROL!$C$28, 0.0272, 0)</f>
        <v>15.818100000000001</v>
      </c>
      <c r="D113" s="4">
        <f>24.4673 * CHOOSE(CONTROL!$C$9, $C$13, 100%, $E$13) + CHOOSE(CONTROL!$C$28, 0.0021, 0)</f>
        <v>24.4694</v>
      </c>
      <c r="E113" s="4">
        <f>97.9711806215981 * CHOOSE(CONTROL!$C$9, $C$13, 100%, $E$13) + CHOOSE(CONTROL!$C$28, 0.0021, 0)</f>
        <v>97.973280621598093</v>
      </c>
    </row>
    <row r="114" spans="1:5" ht="15">
      <c r="A114" s="13">
        <v>44593</v>
      </c>
      <c r="B114" s="4">
        <f>16.5194 * CHOOSE(CONTROL!$C$9, $C$13, 100%, $E$13) + CHOOSE(CONTROL!$C$28, 0.0272, 0)</f>
        <v>16.546600000000002</v>
      </c>
      <c r="C114" s="4">
        <f>16.1561 * CHOOSE(CONTROL!$C$9, $C$13, 100%, $E$13) + CHOOSE(CONTROL!$C$28, 0.0272, 0)</f>
        <v>16.183299999999999</v>
      </c>
      <c r="D114" s="4">
        <f>25.2655 * CHOOSE(CONTROL!$C$9, $C$13, 100%, $E$13) + CHOOSE(CONTROL!$C$28, 0.0021, 0)</f>
        <v>25.267599999999998</v>
      </c>
      <c r="E114" s="4">
        <f>100.297402545105 * CHOOSE(CONTROL!$C$9, $C$13, 100%, $E$13) + CHOOSE(CONTROL!$C$28, 0.0021, 0)</f>
        <v>100.299502545105</v>
      </c>
    </row>
    <row r="115" spans="1:5" ht="15">
      <c r="A115" s="13">
        <v>44621</v>
      </c>
      <c r="B115" s="4">
        <f>17.4785 * CHOOSE(CONTROL!$C$9, $C$13, 100%, $E$13) + CHOOSE(CONTROL!$C$28, 0.0272, 0)</f>
        <v>17.505700000000001</v>
      </c>
      <c r="C115" s="4">
        <f>17.1152 * CHOOSE(CONTROL!$C$9, $C$13, 100%, $E$13) + CHOOSE(CONTROL!$C$28, 0.0272, 0)</f>
        <v>17.142400000000002</v>
      </c>
      <c r="D115" s="4">
        <f>26.515 * CHOOSE(CONTROL!$C$9, $C$13, 100%, $E$13) + CHOOSE(CONTROL!$C$28, 0.0021, 0)</f>
        <v>26.517099999999999</v>
      </c>
      <c r="E115" s="4">
        <f>106.406184939177 * CHOOSE(CONTROL!$C$9, $C$13, 100%, $E$13) + CHOOSE(CONTROL!$C$28, 0.0021, 0)</f>
        <v>106.40828493917699</v>
      </c>
    </row>
    <row r="116" spans="1:5" ht="15">
      <c r="A116" s="13">
        <v>44652</v>
      </c>
      <c r="B116" s="4">
        <f>18.1599 * CHOOSE(CONTROL!$C$9, $C$13, 100%, $E$13) + CHOOSE(CONTROL!$C$28, 0.0272, 0)</f>
        <v>18.187100000000001</v>
      </c>
      <c r="C116" s="4">
        <f>17.7966 * CHOOSE(CONTROL!$C$9, $C$13, 100%, $E$13) + CHOOSE(CONTROL!$C$28, 0.0272, 0)</f>
        <v>17.823800000000002</v>
      </c>
      <c r="D116" s="4">
        <f>27.2348 * CHOOSE(CONTROL!$C$9, $C$13, 100%, $E$13) + CHOOSE(CONTROL!$C$28, 0.0021, 0)</f>
        <v>27.236899999999999</v>
      </c>
      <c r="E116" s="4">
        <f>110.746556240394 * CHOOSE(CONTROL!$C$9, $C$13, 100%, $E$13) + CHOOSE(CONTROL!$C$28, 0.0021, 0)</f>
        <v>110.748656240394</v>
      </c>
    </row>
    <row r="117" spans="1:5" ht="15">
      <c r="A117" s="13">
        <v>44682</v>
      </c>
      <c r="B117" s="4">
        <f>18.5762 * CHOOSE(CONTROL!$C$9, $C$13, 100%, $E$13) + CHOOSE(CONTROL!$C$28, 0.0272, 0)</f>
        <v>18.603400000000001</v>
      </c>
      <c r="C117" s="4">
        <f>18.2129 * CHOOSE(CONTROL!$C$9, $C$13, 100%, $E$13) + CHOOSE(CONTROL!$C$28, 0.0272, 0)</f>
        <v>18.240100000000002</v>
      </c>
      <c r="D117" s="4">
        <f>26.9504 * CHOOSE(CONTROL!$C$9, $C$13, 100%, $E$13) + CHOOSE(CONTROL!$C$28, 0.0021, 0)</f>
        <v>26.952499999999997</v>
      </c>
      <c r="E117" s="4">
        <f>113.398419081255 * CHOOSE(CONTROL!$C$9, $C$13, 100%, $E$13) + CHOOSE(CONTROL!$C$28, 0.0021, 0)</f>
        <v>113.400519081255</v>
      </c>
    </row>
    <row r="118" spans="1:5" ht="15">
      <c r="A118" s="13">
        <v>44713</v>
      </c>
      <c r="B118" s="4">
        <f>18.6325 * CHOOSE(CONTROL!$C$9, $C$13, 100%, $E$13) + CHOOSE(CONTROL!$C$28, 0.0272, 0)</f>
        <v>18.659700000000001</v>
      </c>
      <c r="C118" s="4">
        <f>18.2692 * CHOOSE(CONTROL!$C$9, $C$13, 100%, $E$13) + CHOOSE(CONTROL!$C$28, 0.0272, 0)</f>
        <v>18.296400000000002</v>
      </c>
      <c r="D118" s="4">
        <f>27.182 * CHOOSE(CONTROL!$C$9, $C$13, 100%, $E$13) + CHOOSE(CONTROL!$C$28, 0.0021, 0)</f>
        <v>27.184099999999997</v>
      </c>
      <c r="E118" s="4">
        <f>113.757227129081 * CHOOSE(CONTROL!$C$9, $C$13, 100%, $E$13) + CHOOSE(CONTROL!$C$28, 0.0021, 0)</f>
        <v>113.759327129081</v>
      </c>
    </row>
    <row r="119" spans="1:5" ht="15">
      <c r="A119" s="13">
        <v>44743</v>
      </c>
      <c r="B119" s="4">
        <f>18.6268 * CHOOSE(CONTROL!$C$9, $C$13, 100%, $E$13) + CHOOSE(CONTROL!$C$28, 0.0272, 0)</f>
        <v>18.654</v>
      </c>
      <c r="C119" s="4">
        <f>18.2636 * CHOOSE(CONTROL!$C$9, $C$13, 100%, $E$13) + CHOOSE(CONTROL!$C$28, 0.0272, 0)</f>
        <v>18.290800000000001</v>
      </c>
      <c r="D119" s="4">
        <f>27.5999 * CHOOSE(CONTROL!$C$9, $C$13, 100%, $E$13) + CHOOSE(CONTROL!$C$28, 0.0021, 0)</f>
        <v>27.602</v>
      </c>
      <c r="E119" s="4">
        <f>113.72104480493 * CHOOSE(CONTROL!$C$9, $C$13, 100%, $E$13) + CHOOSE(CONTROL!$C$28, 0.0021, 0)</f>
        <v>113.72314480493</v>
      </c>
    </row>
    <row r="120" spans="1:5" ht="15">
      <c r="A120" s="13">
        <v>44774</v>
      </c>
      <c r="B120" s="4">
        <f>19.0543 * CHOOSE(CONTROL!$C$9, $C$13, 100%, $E$13) + CHOOSE(CONTROL!$C$28, 0.0272, 0)</f>
        <v>19.081500000000002</v>
      </c>
      <c r="C120" s="4">
        <f>18.691 * CHOOSE(CONTROL!$C$9, $C$13, 100%, $E$13) + CHOOSE(CONTROL!$C$28, 0.0272, 0)</f>
        <v>18.7182</v>
      </c>
      <c r="D120" s="4">
        <f>27.3239 * CHOOSE(CONTROL!$C$9, $C$13, 100%, $E$13) + CHOOSE(CONTROL!$C$28, 0.0021, 0)</f>
        <v>27.325999999999997</v>
      </c>
      <c r="E120" s="4">
        <f>116.443764697253 * CHOOSE(CONTROL!$C$9, $C$13, 100%, $E$13) + CHOOSE(CONTROL!$C$28, 0.0021, 0)</f>
        <v>116.445864697253</v>
      </c>
    </row>
    <row r="121" spans="1:5" ht="15">
      <c r="A121" s="13">
        <v>44805</v>
      </c>
      <c r="B121" s="4">
        <f>18.3258 * CHOOSE(CONTROL!$C$9, $C$13, 100%, $E$13) + CHOOSE(CONTROL!$C$28, 0.0272, 0)</f>
        <v>18.353000000000002</v>
      </c>
      <c r="C121" s="4">
        <f>17.9625 * CHOOSE(CONTROL!$C$9, $C$13, 100%, $E$13) + CHOOSE(CONTROL!$C$28, 0.0272, 0)</f>
        <v>17.989699999999999</v>
      </c>
      <c r="D121" s="4">
        <f>27.1935 * CHOOSE(CONTROL!$C$9, $C$13, 100%, $E$13) + CHOOSE(CONTROL!$C$28, 0.0021, 0)</f>
        <v>27.195599999999999</v>
      </c>
      <c r="E121" s="4">
        <f>111.803381624955 * CHOOSE(CONTROL!$C$9, $C$13, 100%, $E$13) + CHOOSE(CONTROL!$C$28, 0.0021, 0)</f>
        <v>111.80548162495499</v>
      </c>
    </row>
    <row r="122" spans="1:5" ht="15">
      <c r="A122" s="13">
        <v>44835</v>
      </c>
      <c r="B122" s="4">
        <f>17.7426 * CHOOSE(CONTROL!$C$9, $C$13, 100%, $E$13) + CHOOSE(CONTROL!$C$28, 0.0272, 0)</f>
        <v>17.7698</v>
      </c>
      <c r="C122" s="4">
        <f>17.3793 * CHOOSE(CONTROL!$C$9, $C$13, 100%, $E$13) + CHOOSE(CONTROL!$C$28, 0.0272, 0)</f>
        <v>17.406500000000001</v>
      </c>
      <c r="D122" s="4">
        <f>26.8443 * CHOOSE(CONTROL!$C$9, $C$13, 100%, $E$13) + CHOOSE(CONTROL!$C$28, 0.0021, 0)</f>
        <v>26.846399999999999</v>
      </c>
      <c r="E122" s="4">
        <f>108.088663012173 * CHOOSE(CONTROL!$C$9, $C$13, 100%, $E$13) + CHOOSE(CONTROL!$C$28, 0.0021, 0)</f>
        <v>108.090763012173</v>
      </c>
    </row>
    <row r="123" spans="1:5" ht="15">
      <c r="A123" s="13">
        <v>44866</v>
      </c>
      <c r="B123" s="4">
        <f>17.367 * CHOOSE(CONTROL!$C$9, $C$13, 100%, $E$13) + CHOOSE(CONTROL!$C$28, 0.0272, 0)</f>
        <v>17.394200000000001</v>
      </c>
      <c r="C123" s="4">
        <f>17.0037 * CHOOSE(CONTROL!$C$9, $C$13, 100%, $E$13) + CHOOSE(CONTROL!$C$28, 0.0272, 0)</f>
        <v>17.030899999999999</v>
      </c>
      <c r="D123" s="4">
        <f>26.7243 * CHOOSE(CONTROL!$C$9, $C$13, 100%, $E$13) + CHOOSE(CONTROL!$C$28, 0.0021, 0)</f>
        <v>26.726399999999998</v>
      </c>
      <c r="E123" s="4">
        <f>105.696106827724 * CHOOSE(CONTROL!$C$9, $C$13, 100%, $E$13) + CHOOSE(CONTROL!$C$28, 0.0021, 0)</f>
        <v>105.69820682772399</v>
      </c>
    </row>
    <row r="124" spans="1:5" ht="15">
      <c r="A124" s="13">
        <v>44896</v>
      </c>
      <c r="B124" s="4">
        <f>17.1071 * CHOOSE(CONTROL!$C$9, $C$13, 100%, $E$13) + CHOOSE(CONTROL!$C$28, 0.0272, 0)</f>
        <v>17.1343</v>
      </c>
      <c r="C124" s="4">
        <f>16.7438 * CHOOSE(CONTROL!$C$9, $C$13, 100%, $E$13) + CHOOSE(CONTROL!$C$28, 0.0272, 0)</f>
        <v>16.771000000000001</v>
      </c>
      <c r="D124" s="4">
        <f>25.8405 * CHOOSE(CONTROL!$C$9, $C$13, 100%, $E$13) + CHOOSE(CONTROL!$C$28, 0.0021, 0)</f>
        <v>25.842599999999997</v>
      </c>
      <c r="E124" s="4">
        <f>104.04076549784 * CHOOSE(CONTROL!$C$9, $C$13, 100%, $E$13) + CHOOSE(CONTROL!$C$28, 0.0021, 0)</f>
        <v>104.04286549784</v>
      </c>
    </row>
    <row r="125" spans="1:5" ht="15">
      <c r="A125" s="13">
        <v>44927</v>
      </c>
      <c r="B125" s="4">
        <f>16.6748 * CHOOSE(CONTROL!$C$9, $C$13, 100%, $E$13) + CHOOSE(CONTROL!$C$28, 0.0272, 0)</f>
        <v>16.702000000000002</v>
      </c>
      <c r="C125" s="4">
        <f>16.3115 * CHOOSE(CONTROL!$C$9, $C$13, 100%, $E$13) + CHOOSE(CONTROL!$C$28, 0.0272, 0)</f>
        <v>16.338699999999999</v>
      </c>
      <c r="D125" s="4">
        <f>25.1755 * CHOOSE(CONTROL!$C$9, $C$13, 100%, $E$13) + CHOOSE(CONTROL!$C$28, 0.0021, 0)</f>
        <v>25.177599999999998</v>
      </c>
      <c r="E125" s="4">
        <f>105.099031584124 * CHOOSE(CONTROL!$C$9, $C$13, 100%, $E$13) + CHOOSE(CONTROL!$C$28, 0.0021, 0)</f>
        <v>105.101131584124</v>
      </c>
    </row>
    <row r="126" spans="1:5" ht="15">
      <c r="A126" s="13">
        <v>44958</v>
      </c>
      <c r="B126" s="4">
        <f>17.0523 * CHOOSE(CONTROL!$C$9, $C$13, 100%, $E$13) + CHOOSE(CONTROL!$C$28, 0.0272, 0)</f>
        <v>17.079499999999999</v>
      </c>
      <c r="C126" s="4">
        <f>16.6891 * CHOOSE(CONTROL!$C$9, $C$13, 100%, $E$13) + CHOOSE(CONTROL!$C$28, 0.0272, 0)</f>
        <v>16.7163</v>
      </c>
      <c r="D126" s="4">
        <f>25.9987 * CHOOSE(CONTROL!$C$9, $C$13, 100%, $E$13) + CHOOSE(CONTROL!$C$28, 0.0021, 0)</f>
        <v>26.000799999999998</v>
      </c>
      <c r="E126" s="4">
        <f>107.594496779697 * CHOOSE(CONTROL!$C$9, $C$13, 100%, $E$13) + CHOOSE(CONTROL!$C$28, 0.0021, 0)</f>
        <v>107.59659677969699</v>
      </c>
    </row>
    <row r="127" spans="1:5" ht="15">
      <c r="A127" s="13">
        <v>44986</v>
      </c>
      <c r="B127" s="4">
        <f>18.0438 * CHOOSE(CONTROL!$C$9, $C$13, 100%, $E$13) + CHOOSE(CONTROL!$C$28, 0.0272, 0)</f>
        <v>18.071000000000002</v>
      </c>
      <c r="C127" s="4">
        <f>17.6805 * CHOOSE(CONTROL!$C$9, $C$13, 100%, $E$13) + CHOOSE(CONTROL!$C$28, 0.0272, 0)</f>
        <v>17.707699999999999</v>
      </c>
      <c r="D127" s="4">
        <f>27.2873 * CHOOSE(CONTROL!$C$9, $C$13, 100%, $E$13) + CHOOSE(CONTROL!$C$28, 0.0021, 0)</f>
        <v>27.289399999999997</v>
      </c>
      <c r="E127" s="4">
        <f>114.147721000346 * CHOOSE(CONTROL!$C$9, $C$13, 100%, $E$13) + CHOOSE(CONTROL!$C$28, 0.0021, 0)</f>
        <v>114.14982100034599</v>
      </c>
    </row>
    <row r="128" spans="1:5" ht="15">
      <c r="A128" s="13">
        <v>45017</v>
      </c>
      <c r="B128" s="4">
        <f>18.7483 * CHOOSE(CONTROL!$C$9, $C$13, 100%, $E$13) + CHOOSE(CONTROL!$C$28, 0.0272, 0)</f>
        <v>18.775500000000001</v>
      </c>
      <c r="C128" s="4">
        <f>18.385 * CHOOSE(CONTROL!$C$9, $C$13, 100%, $E$13) + CHOOSE(CONTROL!$C$28, 0.0272, 0)</f>
        <v>18.412200000000002</v>
      </c>
      <c r="D128" s="4">
        <f>28.0296 * CHOOSE(CONTROL!$C$9, $C$13, 100%, $E$13) + CHOOSE(CONTROL!$C$28, 0.0021, 0)</f>
        <v>28.031699999999997</v>
      </c>
      <c r="E128" s="4">
        <f>118.803874142312 * CHOOSE(CONTROL!$C$9, $C$13, 100%, $E$13) + CHOOSE(CONTROL!$C$28, 0.0021, 0)</f>
        <v>118.805974142312</v>
      </c>
    </row>
    <row r="129" spans="1:5" ht="15">
      <c r="A129" s="13">
        <v>45047</v>
      </c>
      <c r="B129" s="4">
        <f>19.1787 * CHOOSE(CONTROL!$C$9, $C$13, 100%, $E$13) + CHOOSE(CONTROL!$C$28, 0.0272, 0)</f>
        <v>19.2059</v>
      </c>
      <c r="C129" s="4">
        <f>18.8154 * CHOOSE(CONTROL!$C$9, $C$13, 100%, $E$13) + CHOOSE(CONTROL!$C$28, 0.0272, 0)</f>
        <v>18.842600000000001</v>
      </c>
      <c r="D129" s="4">
        <f>27.7363 * CHOOSE(CONTROL!$C$9, $C$13, 100%, $E$13) + CHOOSE(CONTROL!$C$28, 0.0021, 0)</f>
        <v>27.738399999999999</v>
      </c>
      <c r="E129" s="4">
        <f>121.648672119637 * CHOOSE(CONTROL!$C$9, $C$13, 100%, $E$13) + CHOOSE(CONTROL!$C$28, 0.0021, 0)</f>
        <v>121.650772119637</v>
      </c>
    </row>
    <row r="130" spans="1:5" ht="15">
      <c r="A130" s="13">
        <v>45078</v>
      </c>
      <c r="B130" s="4">
        <f>19.237 * CHOOSE(CONTROL!$C$9, $C$13, 100%, $E$13) + CHOOSE(CONTROL!$C$28, 0.0272, 0)</f>
        <v>19.264199999999999</v>
      </c>
      <c r="C130" s="4">
        <f>18.8737 * CHOOSE(CONTROL!$C$9, $C$13, 100%, $E$13) + CHOOSE(CONTROL!$C$28, 0.0272, 0)</f>
        <v>18.9009</v>
      </c>
      <c r="D130" s="4">
        <f>27.9752 * CHOOSE(CONTROL!$C$9, $C$13, 100%, $E$13) + CHOOSE(CONTROL!$C$28, 0.0021, 0)</f>
        <v>27.9773</v>
      </c>
      <c r="E130" s="4">
        <f>122.033585092124 * CHOOSE(CONTROL!$C$9, $C$13, 100%, $E$13) + CHOOSE(CONTROL!$C$28, 0.0021, 0)</f>
        <v>122.035685092124</v>
      </c>
    </row>
    <row r="131" spans="1:5" ht="15">
      <c r="A131" s="13">
        <v>45108</v>
      </c>
      <c r="B131" s="4">
        <f>19.2311 * CHOOSE(CONTROL!$C$9, $C$13, 100%, $E$13) + CHOOSE(CONTROL!$C$28, 0.0272, 0)</f>
        <v>19.258300000000002</v>
      </c>
      <c r="C131" s="4">
        <f>18.8678 * CHOOSE(CONTROL!$C$9, $C$13, 100%, $E$13) + CHOOSE(CONTROL!$C$28, 0.0272, 0)</f>
        <v>18.895</v>
      </c>
      <c r="D131" s="4">
        <f>28.4062 * CHOOSE(CONTROL!$C$9, $C$13, 100%, $E$13) + CHOOSE(CONTROL!$C$28, 0.0021, 0)</f>
        <v>28.408299999999997</v>
      </c>
      <c r="E131" s="4">
        <f>121.994770338596 * CHOOSE(CONTROL!$C$9, $C$13, 100%, $E$13) + CHOOSE(CONTROL!$C$28, 0.0021, 0)</f>
        <v>121.996870338596</v>
      </c>
    </row>
    <row r="132" spans="1:5" ht="15">
      <c r="A132" s="13">
        <v>45139</v>
      </c>
      <c r="B132" s="4">
        <f>19.673 * CHOOSE(CONTROL!$C$9, $C$13, 100%, $E$13) + CHOOSE(CONTROL!$C$28, 0.0272, 0)</f>
        <v>19.700199999999999</v>
      </c>
      <c r="C132" s="4">
        <f>19.3097 * CHOOSE(CONTROL!$C$9, $C$13, 100%, $E$13) + CHOOSE(CONTROL!$C$28, 0.0272, 0)</f>
        <v>19.3369</v>
      </c>
      <c r="D132" s="4">
        <f>28.1216 * CHOOSE(CONTROL!$C$9, $C$13, 100%, $E$13) + CHOOSE(CONTROL!$C$28, 0.0021, 0)</f>
        <v>28.123699999999999</v>
      </c>
      <c r="E132" s="4">
        <f>124.91558054158 * CHOOSE(CONTROL!$C$9, $C$13, 100%, $E$13) + CHOOSE(CONTROL!$C$28, 0.0021, 0)</f>
        <v>124.91768054158</v>
      </c>
    </row>
    <row r="133" spans="1:5" ht="15">
      <c r="A133" s="13">
        <v>45170</v>
      </c>
      <c r="B133" s="4">
        <f>18.9198 * CHOOSE(CONTROL!$C$9, $C$13, 100%, $E$13) + CHOOSE(CONTROL!$C$28, 0.0272, 0)</f>
        <v>18.946999999999999</v>
      </c>
      <c r="C133" s="4">
        <f>18.5565 * CHOOSE(CONTROL!$C$9, $C$13, 100%, $E$13) + CHOOSE(CONTROL!$C$28, 0.0272, 0)</f>
        <v>18.5837</v>
      </c>
      <c r="D133" s="4">
        <f>27.9871 * CHOOSE(CONTROL!$C$9, $C$13, 100%, $E$13) + CHOOSE(CONTROL!$C$28, 0.0021, 0)</f>
        <v>27.9892</v>
      </c>
      <c r="E133" s="4">
        <f>119.93758840161 * CHOOSE(CONTROL!$C$9, $C$13, 100%, $E$13) + CHOOSE(CONTROL!$C$28, 0.0021, 0)</f>
        <v>119.93968840161</v>
      </c>
    </row>
    <row r="134" spans="1:5" ht="15">
      <c r="A134" s="13">
        <v>45200</v>
      </c>
      <c r="B134" s="4">
        <f>18.3169 * CHOOSE(CONTROL!$C$9, $C$13, 100%, $E$13) + CHOOSE(CONTROL!$C$28, 0.0272, 0)</f>
        <v>18.344100000000001</v>
      </c>
      <c r="C134" s="4">
        <f>17.9536 * CHOOSE(CONTROL!$C$9, $C$13, 100%, $E$13) + CHOOSE(CONTROL!$C$28, 0.0272, 0)</f>
        <v>17.980800000000002</v>
      </c>
      <c r="D134" s="4">
        <f>27.627 * CHOOSE(CONTROL!$C$9, $C$13, 100%, $E$13) + CHOOSE(CONTROL!$C$28, 0.0021, 0)</f>
        <v>27.629099999999998</v>
      </c>
      <c r="E134" s="4">
        <f>115.952607039399 * CHOOSE(CONTROL!$C$9, $C$13, 100%, $E$13) + CHOOSE(CONTROL!$C$28, 0.0021, 0)</f>
        <v>115.954707039399</v>
      </c>
    </row>
    <row r="135" spans="1:5" ht="15">
      <c r="A135" s="13">
        <v>45231</v>
      </c>
      <c r="B135" s="4">
        <f>17.9286 * CHOOSE(CONTROL!$C$9, $C$13, 100%, $E$13) + CHOOSE(CONTROL!$C$28, 0.0272, 0)</f>
        <v>17.9558</v>
      </c>
      <c r="C135" s="4">
        <f>17.5653 * CHOOSE(CONTROL!$C$9, $C$13, 100%, $E$13) + CHOOSE(CONTROL!$C$28, 0.0272, 0)</f>
        <v>17.592500000000001</v>
      </c>
      <c r="D135" s="4">
        <f>27.5032 * CHOOSE(CONTROL!$C$9, $C$13, 100%, $E$13) + CHOOSE(CONTROL!$C$28, 0.0021, 0)</f>
        <v>27.505299999999998</v>
      </c>
      <c r="E135" s="4">
        <f>113.385981462358 * CHOOSE(CONTROL!$C$9, $C$13, 100%, $E$13) + CHOOSE(CONTROL!$C$28, 0.0021, 0)</f>
        <v>113.388081462358</v>
      </c>
    </row>
    <row r="136" spans="1:5" ht="15">
      <c r="A136" s="13">
        <v>45261</v>
      </c>
      <c r="B136" s="4">
        <f>17.6599 * CHOOSE(CONTROL!$C$9, $C$13, 100%, $E$13) + CHOOSE(CONTROL!$C$28, 0.0272, 0)</f>
        <v>17.687100000000001</v>
      </c>
      <c r="C136" s="4">
        <f>17.2966 * CHOOSE(CONTROL!$C$9, $C$13, 100%, $E$13) + CHOOSE(CONTROL!$C$28, 0.0272, 0)</f>
        <v>17.323800000000002</v>
      </c>
      <c r="D136" s="4">
        <f>26.5917 * CHOOSE(CONTROL!$C$9, $C$13, 100%, $E$13) + CHOOSE(CONTROL!$C$28, 0.0021, 0)</f>
        <v>26.593799999999998</v>
      </c>
      <c r="E136" s="4">
        <f>111.610206488451 * CHOOSE(CONTROL!$C$9, $C$13, 100%, $E$13) + CHOOSE(CONTROL!$C$28, 0.0021, 0)</f>
        <v>111.612306488451</v>
      </c>
    </row>
    <row r="137" spans="1:5" ht="15">
      <c r="A137" s="13">
        <v>45292</v>
      </c>
      <c r="B137" s="4">
        <f>17.5185 * CHOOSE(CONTROL!$C$9, $C$13, 100%, $E$13) + CHOOSE(CONTROL!$C$28, 0.0272, 0)</f>
        <v>17.5457</v>
      </c>
      <c r="C137" s="4">
        <f>17.1553 * CHOOSE(CONTROL!$C$9, $C$13, 100%, $E$13) + CHOOSE(CONTROL!$C$28, 0.0272, 0)</f>
        <v>17.182500000000001</v>
      </c>
      <c r="D137" s="4">
        <f>26.0862 * CHOOSE(CONTROL!$C$9, $C$13, 100%, $E$13) + CHOOSE(CONTROL!$C$28, 0.0021, 0)</f>
        <v>26.0883</v>
      </c>
      <c r="E137" s="4">
        <f>110.392040815825 * CHOOSE(CONTROL!$C$9, $C$13, 100%, $E$13) + CHOOSE(CONTROL!$C$28, 0.0021, 0)</f>
        <v>110.394140815825</v>
      </c>
    </row>
    <row r="138" spans="1:5" ht="15">
      <c r="A138" s="13">
        <v>45323</v>
      </c>
      <c r="B138" s="4">
        <f>17.9161 * CHOOSE(CONTROL!$C$9, $C$13, 100%, $E$13) + CHOOSE(CONTROL!$C$28, 0.0272, 0)</f>
        <v>17.943300000000001</v>
      </c>
      <c r="C138" s="4">
        <f>17.5529 * CHOOSE(CONTROL!$C$9, $C$13, 100%, $E$13) + CHOOSE(CONTROL!$C$28, 0.0272, 0)</f>
        <v>17.580100000000002</v>
      </c>
      <c r="D138" s="4">
        <f>26.9415 * CHOOSE(CONTROL!$C$9, $C$13, 100%, $E$13) + CHOOSE(CONTROL!$C$28, 0.0021, 0)</f>
        <v>26.9436</v>
      </c>
      <c r="E138" s="4">
        <f>113.013182909829 * CHOOSE(CONTROL!$C$9, $C$13, 100%, $E$13) + CHOOSE(CONTROL!$C$28, 0.0021, 0)</f>
        <v>113.015282909829</v>
      </c>
    </row>
    <row r="139" spans="1:5" ht="15">
      <c r="A139" s="13">
        <v>45352</v>
      </c>
      <c r="B139" s="4">
        <f>18.9602 * CHOOSE(CONTROL!$C$9, $C$13, 100%, $E$13) + CHOOSE(CONTROL!$C$28, 0.0272, 0)</f>
        <v>18.987400000000001</v>
      </c>
      <c r="C139" s="4">
        <f>18.597 * CHOOSE(CONTROL!$C$9, $C$13, 100%, $E$13) + CHOOSE(CONTROL!$C$28, 0.0272, 0)</f>
        <v>18.624200000000002</v>
      </c>
      <c r="D139" s="4">
        <f>28.2805 * CHOOSE(CONTROL!$C$9, $C$13, 100%, $E$13) + CHOOSE(CONTROL!$C$28, 0.0021, 0)</f>
        <v>28.282599999999999</v>
      </c>
      <c r="E139" s="4">
        <f>119.896441344633 * CHOOSE(CONTROL!$C$9, $C$13, 100%, $E$13) + CHOOSE(CONTROL!$C$28, 0.0021, 0)</f>
        <v>119.898541344633</v>
      </c>
    </row>
    <row r="140" spans="1:5" ht="15">
      <c r="A140" s="13">
        <v>45383</v>
      </c>
      <c r="B140" s="4">
        <f>19.7021 * CHOOSE(CONTROL!$C$9, $C$13, 100%, $E$13) + CHOOSE(CONTROL!$C$28, 0.0272, 0)</f>
        <v>19.729300000000002</v>
      </c>
      <c r="C140" s="4">
        <f>19.3388 * CHOOSE(CONTROL!$C$9, $C$13, 100%, $E$13) + CHOOSE(CONTROL!$C$28, 0.0272, 0)</f>
        <v>19.366</v>
      </c>
      <c r="D140" s="4">
        <f>29.0518 * CHOOSE(CONTROL!$C$9, $C$13, 100%, $E$13) + CHOOSE(CONTROL!$C$28, 0.0021, 0)</f>
        <v>29.053899999999999</v>
      </c>
      <c r="E140" s="4">
        <f>124.78708819404 * CHOOSE(CONTROL!$C$9, $C$13, 100%, $E$13) + CHOOSE(CONTROL!$C$28, 0.0021, 0)</f>
        <v>124.78918819403999</v>
      </c>
    </row>
    <row r="141" spans="1:5" ht="15">
      <c r="A141" s="13">
        <v>45413</v>
      </c>
      <c r="B141" s="4">
        <f>20.1553 * CHOOSE(CONTROL!$C$9, $C$13, 100%, $E$13) + CHOOSE(CONTROL!$C$28, 0.0272, 0)</f>
        <v>20.182500000000001</v>
      </c>
      <c r="C141" s="4">
        <f>19.7921 * CHOOSE(CONTROL!$C$9, $C$13, 100%, $E$13) + CHOOSE(CONTROL!$C$28, 0.0272, 0)</f>
        <v>19.819300000000002</v>
      </c>
      <c r="D141" s="4">
        <f>28.747 * CHOOSE(CONTROL!$C$9, $C$13, 100%, $E$13) + CHOOSE(CONTROL!$C$28, 0.0021, 0)</f>
        <v>28.749099999999999</v>
      </c>
      <c r="E141" s="4">
        <f>127.775156206582 * CHOOSE(CONTROL!$C$9, $C$13, 100%, $E$13) + CHOOSE(CONTROL!$C$28, 0.0021, 0)</f>
        <v>127.777256206582</v>
      </c>
    </row>
    <row r="142" spans="1:5" ht="15">
      <c r="A142" s="13">
        <v>45444</v>
      </c>
      <c r="B142" s="4">
        <f>20.2167 * CHOOSE(CONTROL!$C$9, $C$13, 100%, $E$13) + CHOOSE(CONTROL!$C$28, 0.0272, 0)</f>
        <v>20.2439</v>
      </c>
      <c r="C142" s="4">
        <f>19.8534 * CHOOSE(CONTROL!$C$9, $C$13, 100%, $E$13) + CHOOSE(CONTROL!$C$28, 0.0272, 0)</f>
        <v>19.880600000000001</v>
      </c>
      <c r="D142" s="4">
        <f>28.9952 * CHOOSE(CONTROL!$C$9, $C$13, 100%, $E$13) + CHOOSE(CONTROL!$C$28, 0.0021, 0)</f>
        <v>28.997299999999999</v>
      </c>
      <c r="E142" s="4">
        <f>128.179454209416 * CHOOSE(CONTROL!$C$9, $C$13, 100%, $E$13) + CHOOSE(CONTROL!$C$28, 0.0021, 0)</f>
        <v>128.18155420941602</v>
      </c>
    </row>
    <row r="143" spans="1:5" ht="15">
      <c r="A143" s="13">
        <v>45474</v>
      </c>
      <c r="B143" s="4">
        <f>20.2105 * CHOOSE(CONTROL!$C$9, $C$13, 100%, $E$13) + CHOOSE(CONTROL!$C$28, 0.0272, 0)</f>
        <v>20.2377</v>
      </c>
      <c r="C143" s="4">
        <f>19.8472 * CHOOSE(CONTROL!$C$9, $C$13, 100%, $E$13) + CHOOSE(CONTROL!$C$28, 0.0272, 0)</f>
        <v>19.874400000000001</v>
      </c>
      <c r="D143" s="4">
        <f>29.4431 * CHOOSE(CONTROL!$C$9, $C$13, 100%, $E$13) + CHOOSE(CONTROL!$C$28, 0.0021, 0)</f>
        <v>29.4452</v>
      </c>
      <c r="E143" s="4">
        <f>128.138684662912 * CHOOSE(CONTROL!$C$9, $C$13, 100%, $E$13) + CHOOSE(CONTROL!$C$28, 0.0021, 0)</f>
        <v>128.14078466291201</v>
      </c>
    </row>
    <row r="144" spans="1:5" ht="15">
      <c r="A144" s="13">
        <v>45505</v>
      </c>
      <c r="B144" s="4">
        <f>20.6759 * CHOOSE(CONTROL!$C$9, $C$13, 100%, $E$13) + CHOOSE(CONTROL!$C$28, 0.0272, 0)</f>
        <v>20.703099999999999</v>
      </c>
      <c r="C144" s="4">
        <f>20.3126 * CHOOSE(CONTROL!$C$9, $C$13, 100%, $E$13) + CHOOSE(CONTROL!$C$28, 0.0272, 0)</f>
        <v>20.3398</v>
      </c>
      <c r="D144" s="4">
        <f>29.1473 * CHOOSE(CONTROL!$C$9, $C$13, 100%, $E$13) + CHOOSE(CONTROL!$C$28, 0.0021, 0)</f>
        <v>29.1494</v>
      </c>
      <c r="E144" s="4">
        <f>131.206593037358 * CHOOSE(CONTROL!$C$9, $C$13, 100%, $E$13) + CHOOSE(CONTROL!$C$28, 0.0021, 0)</f>
        <v>131.20869303735802</v>
      </c>
    </row>
    <row r="145" spans="1:5" ht="15">
      <c r="A145" s="13">
        <v>45536</v>
      </c>
      <c r="B145" s="4">
        <f>19.8827 * CHOOSE(CONTROL!$C$9, $C$13, 100%, $E$13) + CHOOSE(CONTROL!$C$28, 0.0272, 0)</f>
        <v>19.9099</v>
      </c>
      <c r="C145" s="4">
        <f>19.5194 * CHOOSE(CONTROL!$C$9, $C$13, 100%, $E$13) + CHOOSE(CONTROL!$C$28, 0.0272, 0)</f>
        <v>19.546600000000002</v>
      </c>
      <c r="D145" s="4">
        <f>29.0075 * CHOOSE(CONTROL!$C$9, $C$13, 100%, $E$13) + CHOOSE(CONTROL!$C$28, 0.0021, 0)</f>
        <v>29.009599999999999</v>
      </c>
      <c r="E145" s="4">
        <f>125.977898698186 * CHOOSE(CONTROL!$C$9, $C$13, 100%, $E$13) + CHOOSE(CONTROL!$C$28, 0.0021, 0)</f>
        <v>125.97999869818599</v>
      </c>
    </row>
    <row r="146" spans="1:5" ht="15">
      <c r="A146" s="13">
        <v>45566</v>
      </c>
      <c r="B146" s="4">
        <f>19.2478 * CHOOSE(CONTROL!$C$9, $C$13, 100%, $E$13) + CHOOSE(CONTROL!$C$28, 0.0272, 0)</f>
        <v>19.275000000000002</v>
      </c>
      <c r="C146" s="4">
        <f>18.8845 * CHOOSE(CONTROL!$C$9, $C$13, 100%, $E$13) + CHOOSE(CONTROL!$C$28, 0.0272, 0)</f>
        <v>18.9117</v>
      </c>
      <c r="D146" s="4">
        <f>28.6334 * CHOOSE(CONTROL!$C$9, $C$13, 100%, $E$13) + CHOOSE(CONTROL!$C$28, 0.0021, 0)</f>
        <v>28.6355</v>
      </c>
      <c r="E146" s="4">
        <f>121.792225257081 * CHOOSE(CONTROL!$C$9, $C$13, 100%, $E$13) + CHOOSE(CONTROL!$C$28, 0.0021, 0)</f>
        <v>121.794325257081</v>
      </c>
    </row>
    <row r="147" spans="1:5" ht="15">
      <c r="A147" s="13">
        <v>45597</v>
      </c>
      <c r="B147" s="4">
        <f>18.8389 * CHOOSE(CONTROL!$C$9, $C$13, 100%, $E$13) + CHOOSE(CONTROL!$C$28, 0.0272, 0)</f>
        <v>18.866099999999999</v>
      </c>
      <c r="C147" s="4">
        <f>18.4756 * CHOOSE(CONTROL!$C$9, $C$13, 100%, $E$13) + CHOOSE(CONTROL!$C$28, 0.0272, 0)</f>
        <v>18.502800000000001</v>
      </c>
      <c r="D147" s="4">
        <f>28.5047 * CHOOSE(CONTROL!$C$9, $C$13, 100%, $E$13) + CHOOSE(CONTROL!$C$28, 0.0021, 0)</f>
        <v>28.506799999999998</v>
      </c>
      <c r="E147" s="4">
        <f>119.096338994486 * CHOOSE(CONTROL!$C$9, $C$13, 100%, $E$13) + CHOOSE(CONTROL!$C$28, 0.0021, 0)</f>
        <v>119.098438994486</v>
      </c>
    </row>
    <row r="148" spans="1:5" ht="15">
      <c r="A148" s="13">
        <v>45627</v>
      </c>
      <c r="B148" s="4">
        <f>18.556 * CHOOSE(CONTROL!$C$9, $C$13, 100%, $E$13) + CHOOSE(CONTROL!$C$28, 0.0272, 0)</f>
        <v>18.583200000000001</v>
      </c>
      <c r="C148" s="4">
        <f>18.1927 * CHOOSE(CONTROL!$C$9, $C$13, 100%, $E$13) + CHOOSE(CONTROL!$C$28, 0.0272, 0)</f>
        <v>18.219899999999999</v>
      </c>
      <c r="D148" s="4">
        <f>27.5577 * CHOOSE(CONTROL!$C$9, $C$13, 100%, $E$13) + CHOOSE(CONTROL!$C$28, 0.0021, 0)</f>
        <v>27.559799999999999</v>
      </c>
      <c r="E148" s="4">
        <f>117.231132241916 * CHOOSE(CONTROL!$C$9, $C$13, 100%, $E$13) + CHOOSE(CONTROL!$C$28, 0.0021, 0)</f>
        <v>117.233232241916</v>
      </c>
    </row>
    <row r="149" spans="1:5" ht="15">
      <c r="A149" s="13">
        <v>45658</v>
      </c>
      <c r="B149" s="4">
        <f>18.6903 * CHOOSE(CONTROL!$C$9, $C$13, 100%, $E$13) + CHOOSE(CONTROL!$C$28, 0.0272, 0)</f>
        <v>18.717500000000001</v>
      </c>
      <c r="C149" s="4">
        <f>18.327 * CHOOSE(CONTROL!$C$9, $C$13, 100%, $E$13) + CHOOSE(CONTROL!$C$28, 0.0272, 0)</f>
        <v>18.354200000000002</v>
      </c>
      <c r="D149" s="4">
        <f>27.0358 * CHOOSE(CONTROL!$C$9, $C$13, 100%, $E$13) + CHOOSE(CONTROL!$C$28, 0.0021, 0)</f>
        <v>27.037899999999997</v>
      </c>
      <c r="E149" s="4">
        <f>117.161701702687 * CHOOSE(CONTROL!$C$9, $C$13, 100%, $E$13) + CHOOSE(CONTROL!$C$28, 0.0021, 0)</f>
        <v>117.163801702687</v>
      </c>
    </row>
    <row r="150" spans="1:5" ht="15">
      <c r="A150" s="13">
        <v>45689</v>
      </c>
      <c r="B150" s="4">
        <f>19.1157 * CHOOSE(CONTROL!$C$9, $C$13, 100%, $E$13) + CHOOSE(CONTROL!$C$28, 0.0272, 0)</f>
        <v>19.142900000000001</v>
      </c>
      <c r="C150" s="4">
        <f>18.7524 * CHOOSE(CONTROL!$C$9, $C$13, 100%, $E$13) + CHOOSE(CONTROL!$C$28, 0.0272, 0)</f>
        <v>18.779600000000002</v>
      </c>
      <c r="D150" s="4">
        <f>27.9247 * CHOOSE(CONTROL!$C$9, $C$13, 100%, $E$13) + CHOOSE(CONTROL!$C$28, 0.0021, 0)</f>
        <v>27.9268</v>
      </c>
      <c r="E150" s="4">
        <f>119.943582224765 * CHOOSE(CONTROL!$C$9, $C$13, 100%, $E$13) + CHOOSE(CONTROL!$C$28, 0.0021, 0)</f>
        <v>119.94568222476499</v>
      </c>
    </row>
    <row r="151" spans="1:5" ht="15">
      <c r="A151" s="13">
        <v>45717</v>
      </c>
      <c r="B151" s="4">
        <f>20.2328 * CHOOSE(CONTROL!$C$9, $C$13, 100%, $E$13) + CHOOSE(CONTROL!$C$28, 0.0272, 0)</f>
        <v>20.260000000000002</v>
      </c>
      <c r="C151" s="4">
        <f>19.8696 * CHOOSE(CONTROL!$C$9, $C$13, 100%, $E$13) + CHOOSE(CONTROL!$C$28, 0.0272, 0)</f>
        <v>19.896799999999999</v>
      </c>
      <c r="D151" s="4">
        <f>29.3161 * CHOOSE(CONTROL!$C$9, $C$13, 100%, $E$13) + CHOOSE(CONTROL!$C$28, 0.0021, 0)</f>
        <v>29.318199999999997</v>
      </c>
      <c r="E151" s="4">
        <f>127.248948313851 * CHOOSE(CONTROL!$C$9, $C$13, 100%, $E$13) + CHOOSE(CONTROL!$C$28, 0.0021, 0)</f>
        <v>127.251048313851</v>
      </c>
    </row>
    <row r="152" spans="1:5" ht="15">
      <c r="A152" s="13">
        <v>45748</v>
      </c>
      <c r="B152" s="4">
        <f>21.0266 * CHOOSE(CONTROL!$C$9, $C$13, 100%, $E$13) + CHOOSE(CONTROL!$C$28, 0.0272, 0)</f>
        <v>21.053799999999999</v>
      </c>
      <c r="C152" s="4">
        <f>20.6633 * CHOOSE(CONTROL!$C$9, $C$13, 100%, $E$13) + CHOOSE(CONTROL!$C$28, 0.0272, 0)</f>
        <v>20.6905</v>
      </c>
      <c r="D152" s="4">
        <f>30.1176 * CHOOSE(CONTROL!$C$9, $C$13, 100%, $E$13) + CHOOSE(CONTROL!$C$28, 0.0021, 0)</f>
        <v>30.119699999999998</v>
      </c>
      <c r="E152" s="4">
        <f>132.439508276951 * CHOOSE(CONTROL!$C$9, $C$13, 100%, $E$13) + CHOOSE(CONTROL!$C$28, 0.0021, 0)</f>
        <v>132.441608276951</v>
      </c>
    </row>
    <row r="153" spans="1:5" ht="15">
      <c r="A153" s="13">
        <v>45778</v>
      </c>
      <c r="B153" s="4">
        <f>21.5116 * CHOOSE(CONTROL!$C$9, $C$13, 100%, $E$13) + CHOOSE(CONTROL!$C$28, 0.0272, 0)</f>
        <v>21.538800000000002</v>
      </c>
      <c r="C153" s="4">
        <f>21.1483 * CHOOSE(CONTROL!$C$9, $C$13, 100%, $E$13) + CHOOSE(CONTROL!$C$28, 0.0272, 0)</f>
        <v>21.1755</v>
      </c>
      <c r="D153" s="4">
        <f>29.8009 * CHOOSE(CONTROL!$C$9, $C$13, 100%, $E$13) + CHOOSE(CONTROL!$C$28, 0.0021, 0)</f>
        <v>29.802999999999997</v>
      </c>
      <c r="E153" s="4">
        <f>135.610816014044 * CHOOSE(CONTROL!$C$9, $C$13, 100%, $E$13) + CHOOSE(CONTROL!$C$28, 0.0021, 0)</f>
        <v>135.612916014044</v>
      </c>
    </row>
    <row r="154" spans="1:5" ht="15">
      <c r="A154" s="13">
        <v>45809</v>
      </c>
      <c r="B154" s="4">
        <f>21.5772 * CHOOSE(CONTROL!$C$9, $C$13, 100%, $E$13) + CHOOSE(CONTROL!$C$28, 0.0272, 0)</f>
        <v>21.604400000000002</v>
      </c>
      <c r="C154" s="4">
        <f>21.2139 * CHOOSE(CONTROL!$C$9, $C$13, 100%, $E$13) + CHOOSE(CONTROL!$C$28, 0.0272, 0)</f>
        <v>21.241099999999999</v>
      </c>
      <c r="D154" s="4">
        <f>30.0588 * CHOOSE(CONTROL!$C$9, $C$13, 100%, $E$13) + CHOOSE(CONTROL!$C$28, 0.0021, 0)</f>
        <v>30.0609</v>
      </c>
      <c r="E154" s="4">
        <f>136.039907112071 * CHOOSE(CONTROL!$C$9, $C$13, 100%, $E$13) + CHOOSE(CONTROL!$C$28, 0.0021, 0)</f>
        <v>136.04200711207102</v>
      </c>
    </row>
    <row r="155" spans="1:5" ht="15">
      <c r="A155" s="13">
        <v>45839</v>
      </c>
      <c r="B155" s="4">
        <f>21.5706 * CHOOSE(CONTROL!$C$9, $C$13, 100%, $E$13) + CHOOSE(CONTROL!$C$28, 0.0272, 0)</f>
        <v>21.597799999999999</v>
      </c>
      <c r="C155" s="4">
        <f>21.2073 * CHOOSE(CONTROL!$C$9, $C$13, 100%, $E$13) + CHOOSE(CONTROL!$C$28, 0.0272, 0)</f>
        <v>21.234500000000001</v>
      </c>
      <c r="D155" s="4">
        <f>30.5242 * CHOOSE(CONTROL!$C$9, $C$13, 100%, $E$13) + CHOOSE(CONTROL!$C$28, 0.0021, 0)</f>
        <v>30.526299999999999</v>
      </c>
      <c r="E155" s="4">
        <f>135.996637421513 * CHOOSE(CONTROL!$C$9, $C$13, 100%, $E$13) + CHOOSE(CONTROL!$C$28, 0.0021, 0)</f>
        <v>135.998737421513</v>
      </c>
    </row>
    <row r="156" spans="1:5" ht="15">
      <c r="A156" s="13">
        <v>45870</v>
      </c>
      <c r="B156" s="4">
        <f>22.0685 * CHOOSE(CONTROL!$C$9, $C$13, 100%, $E$13) + CHOOSE(CONTROL!$C$28, 0.0272, 0)</f>
        <v>22.095700000000001</v>
      </c>
      <c r="C156" s="4">
        <f>21.7052 * CHOOSE(CONTROL!$C$9, $C$13, 100%, $E$13) + CHOOSE(CONTROL!$C$28, 0.0272, 0)</f>
        <v>21.732400000000002</v>
      </c>
      <c r="D156" s="4">
        <f>30.2169 * CHOOSE(CONTROL!$C$9, $C$13, 100%, $E$13) + CHOOSE(CONTROL!$C$28, 0.0021, 0)</f>
        <v>30.218999999999998</v>
      </c>
      <c r="E156" s="4">
        <f>139.252681635948 * CHOOSE(CONTROL!$C$9, $C$13, 100%, $E$13) + CHOOSE(CONTROL!$C$28, 0.0021, 0)</f>
        <v>139.25478163594801</v>
      </c>
    </row>
    <row r="157" spans="1:5" ht="15">
      <c r="A157" s="13">
        <v>45901</v>
      </c>
      <c r="B157" s="4">
        <f>21.2199 * CHOOSE(CONTROL!$C$9, $C$13, 100%, $E$13) + CHOOSE(CONTROL!$C$28, 0.0272, 0)</f>
        <v>21.2471</v>
      </c>
      <c r="C157" s="4">
        <f>20.8566 * CHOOSE(CONTROL!$C$9, $C$13, 100%, $E$13) + CHOOSE(CONTROL!$C$28, 0.0272, 0)</f>
        <v>20.883800000000001</v>
      </c>
      <c r="D157" s="4">
        <f>30.0716 * CHOOSE(CONTROL!$C$9, $C$13, 100%, $E$13) + CHOOSE(CONTROL!$C$28, 0.0021, 0)</f>
        <v>30.073699999999999</v>
      </c>
      <c r="E157" s="4">
        <f>133.703343821978 * CHOOSE(CONTROL!$C$9, $C$13, 100%, $E$13) + CHOOSE(CONTROL!$C$28, 0.0021, 0)</f>
        <v>133.70544382197801</v>
      </c>
    </row>
    <row r="158" spans="1:5" ht="15">
      <c r="A158" s="13">
        <v>45931</v>
      </c>
      <c r="B158" s="4">
        <f>20.5405 * CHOOSE(CONTROL!$C$9, $C$13, 100%, $E$13) + CHOOSE(CONTROL!$C$28, 0.0272, 0)</f>
        <v>20.567700000000002</v>
      </c>
      <c r="C158" s="4">
        <f>20.1772 * CHOOSE(CONTROL!$C$9, $C$13, 100%, $E$13) + CHOOSE(CONTROL!$C$28, 0.0272, 0)</f>
        <v>20.2044</v>
      </c>
      <c r="D158" s="4">
        <f>29.6828 * CHOOSE(CONTROL!$C$9, $C$13, 100%, $E$13) + CHOOSE(CONTROL!$C$28, 0.0021, 0)</f>
        <v>29.684899999999999</v>
      </c>
      <c r="E158" s="4">
        <f>129.260988924764 * CHOOSE(CONTROL!$C$9, $C$13, 100%, $E$13) + CHOOSE(CONTROL!$C$28, 0.0021, 0)</f>
        <v>129.26308892476402</v>
      </c>
    </row>
    <row r="159" spans="1:5" ht="15">
      <c r="A159" s="13">
        <v>45962</v>
      </c>
      <c r="B159" s="4">
        <f>20.103 * CHOOSE(CONTROL!$C$9, $C$13, 100%, $E$13) + CHOOSE(CONTROL!$C$28, 0.0272, 0)</f>
        <v>20.130200000000002</v>
      </c>
      <c r="C159" s="4">
        <f>19.7397 * CHOOSE(CONTROL!$C$9, $C$13, 100%, $E$13) + CHOOSE(CONTROL!$C$28, 0.0272, 0)</f>
        <v>19.7669</v>
      </c>
      <c r="D159" s="4">
        <f>29.5491 * CHOOSE(CONTROL!$C$9, $C$13, 100%, $E$13) + CHOOSE(CONTROL!$C$28, 0.0021, 0)</f>
        <v>29.551199999999998</v>
      </c>
      <c r="E159" s="4">
        <f>126.399780636665 * CHOOSE(CONTROL!$C$9, $C$13, 100%, $E$13) + CHOOSE(CONTROL!$C$28, 0.0021, 0)</f>
        <v>126.401880636665</v>
      </c>
    </row>
    <row r="160" spans="1:5" ht="15">
      <c r="A160" s="13">
        <v>45992</v>
      </c>
      <c r="B160" s="4">
        <f>19.8002 * CHOOSE(CONTROL!$C$9, $C$13, 100%, $E$13) + CHOOSE(CONTROL!$C$28, 0.0272, 0)</f>
        <v>19.827400000000001</v>
      </c>
      <c r="C160" s="4">
        <f>19.437 * CHOOSE(CONTROL!$C$9, $C$13, 100%, $E$13) + CHOOSE(CONTROL!$C$28, 0.0272, 0)</f>
        <v>19.464200000000002</v>
      </c>
      <c r="D160" s="4">
        <f>28.5649 * CHOOSE(CONTROL!$C$9, $C$13, 100%, $E$13) + CHOOSE(CONTROL!$C$28, 0.0021, 0)</f>
        <v>28.567</v>
      </c>
      <c r="E160" s="4">
        <f>124.420192293669 * CHOOSE(CONTROL!$C$9, $C$13, 100%, $E$13) + CHOOSE(CONTROL!$C$28, 0.0021, 0)</f>
        <v>124.422292293669</v>
      </c>
    </row>
    <row r="161" spans="1:5" ht="15">
      <c r="A161" s="13">
        <v>46023</v>
      </c>
      <c r="B161" s="4">
        <f>19.42 * CHOOSE(CONTROL!$C$9, $C$13, 100%, $E$13) + CHOOSE(CONTROL!$C$28, 0.0272, 0)</f>
        <v>19.447200000000002</v>
      </c>
      <c r="C161" s="4">
        <f>19.0567 * CHOOSE(CONTROL!$C$9, $C$13, 100%, $E$13) + CHOOSE(CONTROL!$C$28, 0.0272, 0)</f>
        <v>19.0839</v>
      </c>
      <c r="D161" s="4">
        <f>27.9519 * CHOOSE(CONTROL!$C$9, $C$13, 100%, $E$13) + CHOOSE(CONTROL!$C$28, 0.0021, 0)</f>
        <v>27.953999999999997</v>
      </c>
      <c r="E161" s="4">
        <f>121.959543750628 * CHOOSE(CONTROL!$C$9, $C$13, 100%, $E$13) + CHOOSE(CONTROL!$C$28, 0.0021, 0)</f>
        <v>121.961643750628</v>
      </c>
    </row>
    <row r="162" spans="1:5" ht="15">
      <c r="A162" s="13">
        <v>46054</v>
      </c>
      <c r="B162" s="4">
        <f>19.8627 * CHOOSE(CONTROL!$C$9, $C$13, 100%, $E$13) + CHOOSE(CONTROL!$C$28, 0.0272, 0)</f>
        <v>19.889900000000001</v>
      </c>
      <c r="C162" s="4">
        <f>19.4994 * CHOOSE(CONTROL!$C$9, $C$13, 100%, $E$13) + CHOOSE(CONTROL!$C$28, 0.0272, 0)</f>
        <v>19.526600000000002</v>
      </c>
      <c r="D162" s="4">
        <f>28.8731 * CHOOSE(CONTROL!$C$9, $C$13, 100%, $E$13) + CHOOSE(CONTROL!$C$28, 0.0021, 0)</f>
        <v>28.8752</v>
      </c>
      <c r="E162" s="4">
        <f>124.855343950786 * CHOOSE(CONTROL!$C$9, $C$13, 100%, $E$13) + CHOOSE(CONTROL!$C$28, 0.0021, 0)</f>
        <v>124.85744395078599</v>
      </c>
    </row>
    <row r="163" spans="1:5" ht="15">
      <c r="A163" s="13">
        <v>46082</v>
      </c>
      <c r="B163" s="4">
        <f>21.0254 * CHOOSE(CONTROL!$C$9, $C$13, 100%, $E$13) + CHOOSE(CONTROL!$C$28, 0.0272, 0)</f>
        <v>21.052600000000002</v>
      </c>
      <c r="C163" s="4">
        <f>20.6621 * CHOOSE(CONTROL!$C$9, $C$13, 100%, $E$13) + CHOOSE(CONTROL!$C$28, 0.0272, 0)</f>
        <v>20.689299999999999</v>
      </c>
      <c r="D163" s="4">
        <f>30.3152 * CHOOSE(CONTROL!$C$9, $C$13, 100%, $E$13) + CHOOSE(CONTROL!$C$28, 0.0021, 0)</f>
        <v>30.317299999999999</v>
      </c>
      <c r="E163" s="4">
        <f>132.459869168567 * CHOOSE(CONTROL!$C$9, $C$13, 100%, $E$13) + CHOOSE(CONTROL!$C$28, 0.0021, 0)</f>
        <v>132.46196916856701</v>
      </c>
    </row>
    <row r="164" spans="1:5" ht="15">
      <c r="A164" s="13">
        <v>46113</v>
      </c>
      <c r="B164" s="4">
        <f>21.8515 * CHOOSE(CONTROL!$C$9, $C$13, 100%, $E$13) + CHOOSE(CONTROL!$C$28, 0.0272, 0)</f>
        <v>21.878700000000002</v>
      </c>
      <c r="C164" s="4">
        <f>21.4882 * CHOOSE(CONTROL!$C$9, $C$13, 100%, $E$13) + CHOOSE(CONTROL!$C$28, 0.0272, 0)</f>
        <v>21.5154</v>
      </c>
      <c r="D164" s="4">
        <f>31.1458 * CHOOSE(CONTROL!$C$9, $C$13, 100%, $E$13) + CHOOSE(CONTROL!$C$28, 0.0021, 0)</f>
        <v>31.1479</v>
      </c>
      <c r="E164" s="4">
        <f>137.862985679425 * CHOOSE(CONTROL!$C$9, $C$13, 100%, $E$13) + CHOOSE(CONTROL!$C$28, 0.0021, 0)</f>
        <v>137.86508567942502</v>
      </c>
    </row>
    <row r="165" spans="1:5" ht="15">
      <c r="A165" s="13">
        <v>46143</v>
      </c>
      <c r="B165" s="4">
        <f>22.3562 * CHOOSE(CONTROL!$C$9, $C$13, 100%, $E$13) + CHOOSE(CONTROL!$C$28, 0.0272, 0)</f>
        <v>22.383400000000002</v>
      </c>
      <c r="C165" s="4">
        <f>21.9929 * CHOOSE(CONTROL!$C$9, $C$13, 100%, $E$13) + CHOOSE(CONTROL!$C$28, 0.0272, 0)</f>
        <v>22.020099999999999</v>
      </c>
      <c r="D165" s="4">
        <f>30.8176 * CHOOSE(CONTROL!$C$9, $C$13, 100%, $E$13) + CHOOSE(CONTROL!$C$28, 0.0021, 0)</f>
        <v>30.819699999999997</v>
      </c>
      <c r="E165" s="4">
        <f>141.164160372929 * CHOOSE(CONTROL!$C$9, $C$13, 100%, $E$13) + CHOOSE(CONTROL!$C$28, 0.0021, 0)</f>
        <v>141.166260372929</v>
      </c>
    </row>
    <row r="166" spans="1:5" ht="15">
      <c r="A166" s="13">
        <v>46174</v>
      </c>
      <c r="B166" s="4">
        <f>22.4245 * CHOOSE(CONTROL!$C$9, $C$13, 100%, $E$13) + CHOOSE(CONTROL!$C$28, 0.0272, 0)</f>
        <v>22.451699999999999</v>
      </c>
      <c r="C166" s="4">
        <f>22.0612 * CHOOSE(CONTROL!$C$9, $C$13, 100%, $E$13) + CHOOSE(CONTROL!$C$28, 0.0272, 0)</f>
        <v>22.0884</v>
      </c>
      <c r="D166" s="4">
        <f>31.0849 * CHOOSE(CONTROL!$C$9, $C$13, 100%, $E$13) + CHOOSE(CONTROL!$C$28, 0.0021, 0)</f>
        <v>31.087</v>
      </c>
      <c r="E166" s="4">
        <f>141.610823009116 * CHOOSE(CONTROL!$C$9, $C$13, 100%, $E$13) + CHOOSE(CONTROL!$C$28, 0.0021, 0)</f>
        <v>141.612923009116</v>
      </c>
    </row>
    <row r="167" spans="1:5" ht="15">
      <c r="A167" s="13">
        <v>46204</v>
      </c>
      <c r="B167" s="4">
        <f>22.4176 * CHOOSE(CONTROL!$C$9, $C$13, 100%, $E$13) + CHOOSE(CONTROL!$C$28, 0.0272, 0)</f>
        <v>22.444800000000001</v>
      </c>
      <c r="C167" s="4">
        <f>22.0543 * CHOOSE(CONTROL!$C$9, $C$13, 100%, $E$13) + CHOOSE(CONTROL!$C$28, 0.0272, 0)</f>
        <v>22.081500000000002</v>
      </c>
      <c r="D167" s="4">
        <f>31.5672 * CHOOSE(CONTROL!$C$9, $C$13, 100%, $E$13) + CHOOSE(CONTROL!$C$28, 0.0021, 0)</f>
        <v>31.569299999999998</v>
      </c>
      <c r="E167" s="4">
        <f>141.565781398744 * CHOOSE(CONTROL!$C$9, $C$13, 100%, $E$13) + CHOOSE(CONTROL!$C$28, 0.0021, 0)</f>
        <v>141.56788139874402</v>
      </c>
    </row>
    <row r="168" spans="1:5" ht="15">
      <c r="A168" s="13">
        <v>46235</v>
      </c>
      <c r="B168" s="4">
        <f>22.9358 * CHOOSE(CONTROL!$C$9, $C$13, 100%, $E$13) + CHOOSE(CONTROL!$C$28, 0.0272, 0)</f>
        <v>22.963000000000001</v>
      </c>
      <c r="C168" s="4">
        <f>22.5725 * CHOOSE(CONTROL!$C$9, $C$13, 100%, $E$13) + CHOOSE(CONTROL!$C$28, 0.0272, 0)</f>
        <v>22.599700000000002</v>
      </c>
      <c r="D168" s="4">
        <f>31.2487 * CHOOSE(CONTROL!$C$9, $C$13, 100%, $E$13) + CHOOSE(CONTROL!$C$28, 0.0021, 0)</f>
        <v>31.250799999999998</v>
      </c>
      <c r="E168" s="4">
        <f>144.955162579227 * CHOOSE(CONTROL!$C$9, $C$13, 100%, $E$13) + CHOOSE(CONTROL!$C$28, 0.0021, 0)</f>
        <v>144.95726257922701</v>
      </c>
    </row>
    <row r="169" spans="1:5" ht="15">
      <c r="A169" s="13">
        <v>46266</v>
      </c>
      <c r="B169" s="4">
        <f>22.0526 * CHOOSE(CONTROL!$C$9, $C$13, 100%, $E$13) + CHOOSE(CONTROL!$C$28, 0.0272, 0)</f>
        <v>22.079800000000002</v>
      </c>
      <c r="C169" s="4">
        <f>21.6893 * CHOOSE(CONTROL!$C$9, $C$13, 100%, $E$13) + CHOOSE(CONTROL!$C$28, 0.0272, 0)</f>
        <v>21.7165</v>
      </c>
      <c r="D169" s="4">
        <f>31.0982 * CHOOSE(CONTROL!$C$9, $C$13, 100%, $E$13) + CHOOSE(CONTROL!$C$28, 0.0021, 0)</f>
        <v>31.100299999999997</v>
      </c>
      <c r="E169" s="4">
        <f>139.178576049036 * CHOOSE(CONTROL!$C$9, $C$13, 100%, $E$13) + CHOOSE(CONTROL!$C$28, 0.0021, 0)</f>
        <v>139.18067604903601</v>
      </c>
    </row>
    <row r="170" spans="1:5" ht="15">
      <c r="A170" s="13">
        <v>46296</v>
      </c>
      <c r="B170" s="4">
        <f>21.3456 * CHOOSE(CONTROL!$C$9, $C$13, 100%, $E$13) + CHOOSE(CONTROL!$C$28, 0.0272, 0)</f>
        <v>21.372800000000002</v>
      </c>
      <c r="C170" s="4">
        <f>20.9823 * CHOOSE(CONTROL!$C$9, $C$13, 100%, $E$13) + CHOOSE(CONTROL!$C$28, 0.0272, 0)</f>
        <v>21.009499999999999</v>
      </c>
      <c r="D170" s="4">
        <f>30.6952 * CHOOSE(CONTROL!$C$9, $C$13, 100%, $E$13) + CHOOSE(CONTROL!$C$28, 0.0021, 0)</f>
        <v>30.697299999999998</v>
      </c>
      <c r="E170" s="4">
        <f>134.554304050859 * CHOOSE(CONTROL!$C$9, $C$13, 100%, $E$13) + CHOOSE(CONTROL!$C$28, 0.0021, 0)</f>
        <v>134.55640405085902</v>
      </c>
    </row>
    <row r="171" spans="1:5" ht="15">
      <c r="A171" s="13">
        <v>46327</v>
      </c>
      <c r="B171" s="4">
        <f>20.8902 * CHOOSE(CONTROL!$C$9, $C$13, 100%, $E$13) + CHOOSE(CONTROL!$C$28, 0.0272, 0)</f>
        <v>20.917400000000001</v>
      </c>
      <c r="C171" s="4">
        <f>20.5269 * CHOOSE(CONTROL!$C$9, $C$13, 100%, $E$13) + CHOOSE(CONTROL!$C$28, 0.0272, 0)</f>
        <v>20.554100000000002</v>
      </c>
      <c r="D171" s="4">
        <f>30.5567 * CHOOSE(CONTROL!$C$9, $C$13, 100%, $E$13) + CHOOSE(CONTROL!$C$28, 0.0021, 0)</f>
        <v>30.558799999999998</v>
      </c>
      <c r="E171" s="4">
        <f>131.57592756502 * CHOOSE(CONTROL!$C$9, $C$13, 100%, $E$13) + CHOOSE(CONTROL!$C$28, 0.0021, 0)</f>
        <v>131.57802756502002</v>
      </c>
    </row>
    <row r="172" spans="1:5" ht="15">
      <c r="A172" s="13">
        <v>46357</v>
      </c>
      <c r="B172" s="4">
        <f>20.5752 * CHOOSE(CONTROL!$C$9, $C$13, 100%, $E$13) + CHOOSE(CONTROL!$C$28, 0.0272, 0)</f>
        <v>20.602399999999999</v>
      </c>
      <c r="C172" s="4">
        <f>20.2119 * CHOOSE(CONTROL!$C$9, $C$13, 100%, $E$13) + CHOOSE(CONTROL!$C$28, 0.0272, 0)</f>
        <v>20.239100000000001</v>
      </c>
      <c r="D172" s="4">
        <f>29.5367 * CHOOSE(CONTROL!$C$9, $C$13, 100%, $E$13) + CHOOSE(CONTROL!$C$28, 0.0021, 0)</f>
        <v>29.538799999999998</v>
      </c>
      <c r="E172" s="4">
        <f>129.515273890507 * CHOOSE(CONTROL!$C$9, $C$13, 100%, $E$13) + CHOOSE(CONTROL!$C$28, 0.0021, 0)</f>
        <v>129.517373890507</v>
      </c>
    </row>
    <row r="173" spans="1:5" ht="15">
      <c r="A173" s="13">
        <v>46388</v>
      </c>
      <c r="B173" s="4">
        <f>20.1926 * CHOOSE(CONTROL!$C$9, $C$13, 100%, $E$13) + CHOOSE(CONTROL!$C$28, 0.0272, 0)</f>
        <v>20.219799999999999</v>
      </c>
      <c r="C173" s="4">
        <f>19.8293 * CHOOSE(CONTROL!$C$9, $C$13, 100%, $E$13) + CHOOSE(CONTROL!$C$28, 0.0272, 0)</f>
        <v>19.8565</v>
      </c>
      <c r="D173" s="4">
        <f>28.9001 * CHOOSE(CONTROL!$C$9, $C$13, 100%, $E$13) + CHOOSE(CONTROL!$C$28, 0.0021, 0)</f>
        <v>28.902199999999997</v>
      </c>
      <c r="E173" s="4">
        <f>126.960926522218 * CHOOSE(CONTROL!$C$9, $C$13, 100%, $E$13) + CHOOSE(CONTROL!$C$28, 0.0021, 0)</f>
        <v>126.963026522218</v>
      </c>
    </row>
    <row r="174" spans="1:5" ht="15">
      <c r="A174" s="13">
        <v>46419</v>
      </c>
      <c r="B174" s="4">
        <f>20.6537 * CHOOSE(CONTROL!$C$9, $C$13, 100%, $E$13) + CHOOSE(CONTROL!$C$28, 0.0272, 0)</f>
        <v>20.680900000000001</v>
      </c>
      <c r="C174" s="4">
        <f>20.2904 * CHOOSE(CONTROL!$C$9, $C$13, 100%, $E$13) + CHOOSE(CONTROL!$C$28, 0.0272, 0)</f>
        <v>20.317600000000002</v>
      </c>
      <c r="D174" s="4">
        <f>29.8548 * CHOOSE(CONTROL!$C$9, $C$13, 100%, $E$13) + CHOOSE(CONTROL!$C$28, 0.0021, 0)</f>
        <v>29.8569</v>
      </c>
      <c r="E174" s="4">
        <f>129.975479259369 * CHOOSE(CONTROL!$C$9, $C$13, 100%, $E$13) + CHOOSE(CONTROL!$C$28, 0.0021, 0)</f>
        <v>129.97757925936901</v>
      </c>
    </row>
    <row r="175" spans="1:5" ht="15">
      <c r="A175" s="13">
        <v>46447</v>
      </c>
      <c r="B175" s="4">
        <f>21.8645 * CHOOSE(CONTROL!$C$9, $C$13, 100%, $E$13) + CHOOSE(CONTROL!$C$28, 0.0272, 0)</f>
        <v>21.8917</v>
      </c>
      <c r="C175" s="4">
        <f>21.5013 * CHOOSE(CONTROL!$C$9, $C$13, 100%, $E$13) + CHOOSE(CONTROL!$C$28, 0.0272, 0)</f>
        <v>21.528500000000001</v>
      </c>
      <c r="D175" s="4">
        <f>31.3492 * CHOOSE(CONTROL!$C$9, $C$13, 100%, $E$13) + CHOOSE(CONTROL!$C$28, 0.0021, 0)</f>
        <v>31.351299999999998</v>
      </c>
      <c r="E175" s="4">
        <f>137.891854950191 * CHOOSE(CONTROL!$C$9, $C$13, 100%, $E$13) + CHOOSE(CONTROL!$C$28, 0.0021, 0)</f>
        <v>137.89395495019102</v>
      </c>
    </row>
    <row r="176" spans="1:5" ht="15">
      <c r="A176" s="13">
        <v>46478</v>
      </c>
      <c r="B176" s="4">
        <f>22.7249 * CHOOSE(CONTROL!$C$9, $C$13, 100%, $E$13) + CHOOSE(CONTROL!$C$28, 0.0272, 0)</f>
        <v>22.752100000000002</v>
      </c>
      <c r="C176" s="4">
        <f>22.3616 * CHOOSE(CONTROL!$C$9, $C$13, 100%, $E$13) + CHOOSE(CONTROL!$C$28, 0.0272, 0)</f>
        <v>22.3888</v>
      </c>
      <c r="D176" s="4">
        <f>32.21 * CHOOSE(CONTROL!$C$9, $C$13, 100%, $E$13) + CHOOSE(CONTROL!$C$28, 0.0021, 0)</f>
        <v>32.2121</v>
      </c>
      <c r="E176" s="4">
        <f>143.516545378097 * CHOOSE(CONTROL!$C$9, $C$13, 100%, $E$13) + CHOOSE(CONTROL!$C$28, 0.0021, 0)</f>
        <v>143.51864537809701</v>
      </c>
    </row>
    <row r="177" spans="1:5" ht="15">
      <c r="A177" s="13">
        <v>46508</v>
      </c>
      <c r="B177" s="4">
        <f>23.2505 * CHOOSE(CONTROL!$C$9, $C$13, 100%, $E$13) + CHOOSE(CONTROL!$C$28, 0.0272, 0)</f>
        <v>23.277699999999999</v>
      </c>
      <c r="C177" s="4">
        <f>22.8872 * CHOOSE(CONTROL!$C$9, $C$13, 100%, $E$13) + CHOOSE(CONTROL!$C$28, 0.0272, 0)</f>
        <v>22.914400000000001</v>
      </c>
      <c r="D177" s="4">
        <f>31.8699 * CHOOSE(CONTROL!$C$9, $C$13, 100%, $E$13) + CHOOSE(CONTROL!$C$28, 0.0021, 0)</f>
        <v>31.872</v>
      </c>
      <c r="E177" s="4">
        <f>146.953096424532 * CHOOSE(CONTROL!$C$9, $C$13, 100%, $E$13) + CHOOSE(CONTROL!$C$28, 0.0021, 0)</f>
        <v>146.95519642453201</v>
      </c>
    </row>
    <row r="178" spans="1:5" ht="15">
      <c r="A178" s="13">
        <v>46539</v>
      </c>
      <c r="B178" s="4">
        <f>23.3216 * CHOOSE(CONTROL!$C$9, $C$13, 100%, $E$13) + CHOOSE(CONTROL!$C$28, 0.0272, 0)</f>
        <v>23.348800000000001</v>
      </c>
      <c r="C178" s="4">
        <f>22.9583 * CHOOSE(CONTROL!$C$9, $C$13, 100%, $E$13) + CHOOSE(CONTROL!$C$28, 0.0272, 0)</f>
        <v>22.985500000000002</v>
      </c>
      <c r="D178" s="4">
        <f>32.1469 * CHOOSE(CONTROL!$C$9, $C$13, 100%, $E$13) + CHOOSE(CONTROL!$C$28, 0.0021, 0)</f>
        <v>32.149000000000001</v>
      </c>
      <c r="E178" s="4">
        <f>147.418076043094 * CHOOSE(CONTROL!$C$9, $C$13, 100%, $E$13) + CHOOSE(CONTROL!$C$28, 0.0021, 0)</f>
        <v>147.42017604309402</v>
      </c>
    </row>
    <row r="179" spans="1:5" ht="15">
      <c r="A179" s="13">
        <v>46569</v>
      </c>
      <c r="B179" s="4">
        <f>23.3145 * CHOOSE(CONTROL!$C$9, $C$13, 100%, $E$13) + CHOOSE(CONTROL!$C$28, 0.0272, 0)</f>
        <v>23.341699999999999</v>
      </c>
      <c r="C179" s="4">
        <f>22.9512 * CHOOSE(CONTROL!$C$9, $C$13, 100%, $E$13) + CHOOSE(CONTROL!$C$28, 0.0272, 0)</f>
        <v>22.978400000000001</v>
      </c>
      <c r="D179" s="4">
        <f>32.6468 * CHOOSE(CONTROL!$C$9, $C$13, 100%, $E$13) + CHOOSE(CONTROL!$C$28, 0.0021, 0)</f>
        <v>32.648899999999998</v>
      </c>
      <c r="E179" s="4">
        <f>147.371187342063 * CHOOSE(CONTROL!$C$9, $C$13, 100%, $E$13) + CHOOSE(CONTROL!$C$28, 0.0021, 0)</f>
        <v>147.37328734206301</v>
      </c>
    </row>
    <row r="180" spans="1:5" ht="15">
      <c r="A180" s="13">
        <v>46600</v>
      </c>
      <c r="B180" s="4">
        <f>23.8541 * CHOOSE(CONTROL!$C$9, $C$13, 100%, $E$13) + CHOOSE(CONTROL!$C$28, 0.0272, 0)</f>
        <v>23.8813</v>
      </c>
      <c r="C180" s="4">
        <f>23.4908 * CHOOSE(CONTROL!$C$9, $C$13, 100%, $E$13) + CHOOSE(CONTROL!$C$28, 0.0272, 0)</f>
        <v>23.518000000000001</v>
      </c>
      <c r="D180" s="4">
        <f>32.3167 * CHOOSE(CONTROL!$C$9, $C$13, 100%, $E$13) + CHOOSE(CONTROL!$C$28, 0.0021, 0)</f>
        <v>32.318799999999996</v>
      </c>
      <c r="E180" s="4">
        <f>150.899562094685 * CHOOSE(CONTROL!$C$9, $C$13, 100%, $E$13) + CHOOSE(CONTROL!$C$28, 0.0021, 0)</f>
        <v>150.90166209468501</v>
      </c>
    </row>
    <row r="181" spans="1:5" ht="15">
      <c r="A181" s="13">
        <v>46631</v>
      </c>
      <c r="B181" s="4">
        <f>22.9343 * CHOOSE(CONTROL!$C$9, $C$13, 100%, $E$13) + CHOOSE(CONTROL!$C$28, 0.0272, 0)</f>
        <v>22.961500000000001</v>
      </c>
      <c r="C181" s="4">
        <f>22.5711 * CHOOSE(CONTROL!$C$9, $C$13, 100%, $E$13) + CHOOSE(CONTROL!$C$28, 0.0272, 0)</f>
        <v>22.598300000000002</v>
      </c>
      <c r="D181" s="4">
        <f>32.1607 * CHOOSE(CONTROL!$C$9, $C$13, 100%, $E$13) + CHOOSE(CONTROL!$C$28, 0.0021, 0)</f>
        <v>32.162799999999997</v>
      </c>
      <c r="E181" s="4">
        <f>144.886086187392 * CHOOSE(CONTROL!$C$9, $C$13, 100%, $E$13) + CHOOSE(CONTROL!$C$28, 0.0021, 0)</f>
        <v>144.88818618739202</v>
      </c>
    </row>
    <row r="182" spans="1:5" ht="15">
      <c r="A182" s="13">
        <v>46661</v>
      </c>
      <c r="B182" s="4">
        <f>22.198 * CHOOSE(CONTROL!$C$9, $C$13, 100%, $E$13) + CHOOSE(CONTROL!$C$28, 0.0272, 0)</f>
        <v>22.225200000000001</v>
      </c>
      <c r="C182" s="4">
        <f>21.8348 * CHOOSE(CONTROL!$C$9, $C$13, 100%, $E$13) + CHOOSE(CONTROL!$C$28, 0.0272, 0)</f>
        <v>21.862000000000002</v>
      </c>
      <c r="D182" s="4">
        <f>31.7431 * CHOOSE(CONTROL!$C$9, $C$13, 100%, $E$13) + CHOOSE(CONTROL!$C$28, 0.0021, 0)</f>
        <v>31.745199999999997</v>
      </c>
      <c r="E182" s="4">
        <f>140.072179548156 * CHOOSE(CONTROL!$C$9, $C$13, 100%, $E$13) + CHOOSE(CONTROL!$C$28, 0.0021, 0)</f>
        <v>140.074279548156</v>
      </c>
    </row>
    <row r="183" spans="1:5" ht="15">
      <c r="A183" s="13">
        <v>46692</v>
      </c>
      <c r="B183" s="4">
        <f>21.7238 * CHOOSE(CONTROL!$C$9, $C$13, 100%, $E$13) + CHOOSE(CONTROL!$C$28, 0.0272, 0)</f>
        <v>21.751000000000001</v>
      </c>
      <c r="C183" s="4">
        <f>21.3605 * CHOOSE(CONTROL!$C$9, $C$13, 100%, $E$13) + CHOOSE(CONTROL!$C$28, 0.0272, 0)</f>
        <v>21.387699999999999</v>
      </c>
      <c r="D183" s="4">
        <f>31.5995 * CHOOSE(CONTROL!$C$9, $C$13, 100%, $E$13) + CHOOSE(CONTROL!$C$28, 0.0021, 0)</f>
        <v>31.601599999999998</v>
      </c>
      <c r="E183" s="4">
        <f>136.971664192447 * CHOOSE(CONTROL!$C$9, $C$13, 100%, $E$13) + CHOOSE(CONTROL!$C$28, 0.0021, 0)</f>
        <v>136.97376419244702</v>
      </c>
    </row>
    <row r="184" spans="1:5" ht="15">
      <c r="A184" s="13">
        <v>46722</v>
      </c>
      <c r="B184" s="4">
        <f>21.3957 * CHOOSE(CONTROL!$C$9, $C$13, 100%, $E$13) + CHOOSE(CONTROL!$C$28, 0.0272, 0)</f>
        <v>21.422900000000002</v>
      </c>
      <c r="C184" s="4">
        <f>21.0324 * CHOOSE(CONTROL!$C$9, $C$13, 100%, $E$13) + CHOOSE(CONTROL!$C$28, 0.0272, 0)</f>
        <v>21.0596</v>
      </c>
      <c r="D184" s="4">
        <f>30.5424 * CHOOSE(CONTROL!$C$9, $C$13, 100%, $E$13) + CHOOSE(CONTROL!$C$28, 0.0021, 0)</f>
        <v>30.544499999999999</v>
      </c>
      <c r="E184" s="4">
        <f>134.826506120255 * CHOOSE(CONTROL!$C$9, $C$13, 100%, $E$13) + CHOOSE(CONTROL!$C$28, 0.0021, 0)</f>
        <v>134.82860612025502</v>
      </c>
    </row>
    <row r="185" spans="1:5" ht="15">
      <c r="A185" s="13">
        <v>46753</v>
      </c>
      <c r="B185" s="4">
        <f>20.9615 * CHOOSE(CONTROL!$C$9, $C$13, 100%, $E$13) + CHOOSE(CONTROL!$C$28, 0.0272, 0)</f>
        <v>20.988700000000001</v>
      </c>
      <c r="C185" s="4">
        <f>20.5982 * CHOOSE(CONTROL!$C$9, $C$13, 100%, $E$13) + CHOOSE(CONTROL!$C$28, 0.0272, 0)</f>
        <v>20.625399999999999</v>
      </c>
      <c r="D185" s="4">
        <f>29.83 * CHOOSE(CONTROL!$C$9, $C$13, 100%, $E$13) + CHOOSE(CONTROL!$C$28, 0.0021, 0)</f>
        <v>29.832099999999997</v>
      </c>
      <c r="E185" s="4">
        <f>132.156690202796 * CHOOSE(CONTROL!$C$9, $C$13, 100%, $E$13) + CHOOSE(CONTROL!$C$28, 0.0021, 0)</f>
        <v>132.15879020279601</v>
      </c>
    </row>
    <row r="186" spans="1:5" ht="15">
      <c r="A186" s="13">
        <v>46784</v>
      </c>
      <c r="B186" s="4">
        <f>21.4408 * CHOOSE(CONTROL!$C$9, $C$13, 100%, $E$13) + CHOOSE(CONTROL!$C$28, 0.0272, 0)</f>
        <v>21.468</v>
      </c>
      <c r="C186" s="4">
        <f>21.0775 * CHOOSE(CONTROL!$C$9, $C$13, 100%, $E$13) + CHOOSE(CONTROL!$C$28, 0.0272, 0)</f>
        <v>21.104700000000001</v>
      </c>
      <c r="D186" s="4">
        <f>30.8175 * CHOOSE(CONTROL!$C$9, $C$13, 100%, $E$13) + CHOOSE(CONTROL!$C$28, 0.0021, 0)</f>
        <v>30.819599999999998</v>
      </c>
      <c r="E186" s="4">
        <f>135.294610845758 * CHOOSE(CONTROL!$C$9, $C$13, 100%, $E$13) + CHOOSE(CONTROL!$C$28, 0.0021, 0)</f>
        <v>135.29671084575801</v>
      </c>
    </row>
    <row r="187" spans="1:5" ht="15">
      <c r="A187" s="13">
        <v>46813</v>
      </c>
      <c r="B187" s="4">
        <f>22.6996 * CHOOSE(CONTROL!$C$9, $C$13, 100%, $E$13) + CHOOSE(CONTROL!$C$28, 0.0272, 0)</f>
        <v>22.726800000000001</v>
      </c>
      <c r="C187" s="4">
        <f>22.3363 * CHOOSE(CONTROL!$C$9, $C$13, 100%, $E$13) + CHOOSE(CONTROL!$C$28, 0.0272, 0)</f>
        <v>22.363500000000002</v>
      </c>
      <c r="D187" s="4">
        <f>32.3632 * CHOOSE(CONTROL!$C$9, $C$13, 100%, $E$13) + CHOOSE(CONTROL!$C$28, 0.0021, 0)</f>
        <v>32.365299999999998</v>
      </c>
      <c r="E187" s="4">
        <f>143.534957213408 * CHOOSE(CONTROL!$C$9, $C$13, 100%, $E$13) + CHOOSE(CONTROL!$C$28, 0.0021, 0)</f>
        <v>143.53705721340802</v>
      </c>
    </row>
    <row r="188" spans="1:5" ht="15">
      <c r="A188" s="13">
        <v>46844</v>
      </c>
      <c r="B188" s="4">
        <f>23.594 * CHOOSE(CONTROL!$C$9, $C$13, 100%, $E$13) + CHOOSE(CONTROL!$C$28, 0.0272, 0)</f>
        <v>23.621200000000002</v>
      </c>
      <c r="C188" s="4">
        <f>23.2307 * CHOOSE(CONTROL!$C$9, $C$13, 100%, $E$13) + CHOOSE(CONTROL!$C$28, 0.0272, 0)</f>
        <v>23.257899999999999</v>
      </c>
      <c r="D188" s="4">
        <f>33.2537 * CHOOSE(CONTROL!$C$9, $C$13, 100%, $E$13) + CHOOSE(CONTROL!$C$28, 0.0021, 0)</f>
        <v>33.255800000000001</v>
      </c>
      <c r="E188" s="4">
        <f>149.389833124678 * CHOOSE(CONTROL!$C$9, $C$13, 100%, $E$13) + CHOOSE(CONTROL!$C$28, 0.0021, 0)</f>
        <v>149.39193312467802</v>
      </c>
    </row>
    <row r="189" spans="1:5" ht="15">
      <c r="A189" s="13">
        <v>46874</v>
      </c>
      <c r="B189" s="4">
        <f>24.1404 * CHOOSE(CONTROL!$C$9, $C$13, 100%, $E$13) + CHOOSE(CONTROL!$C$28, 0.0272, 0)</f>
        <v>24.1676</v>
      </c>
      <c r="C189" s="4">
        <f>23.7772 * CHOOSE(CONTROL!$C$9, $C$13, 100%, $E$13) + CHOOSE(CONTROL!$C$28, 0.0272, 0)</f>
        <v>23.804400000000001</v>
      </c>
      <c r="D189" s="4">
        <f>32.9018 * CHOOSE(CONTROL!$C$9, $C$13, 100%, $E$13) + CHOOSE(CONTROL!$C$28, 0.0021, 0)</f>
        <v>32.9039</v>
      </c>
      <c r="E189" s="4">
        <f>152.967021984672 * CHOOSE(CONTROL!$C$9, $C$13, 100%, $E$13) + CHOOSE(CONTROL!$C$28, 0.0021, 0)</f>
        <v>152.969121984672</v>
      </c>
    </row>
    <row r="190" spans="1:5" ht="15">
      <c r="A190" s="13">
        <v>46905</v>
      </c>
      <c r="B190" s="4">
        <f>24.2144 * CHOOSE(CONTROL!$C$9, $C$13, 100%, $E$13) + CHOOSE(CONTROL!$C$28, 0.0272, 0)</f>
        <v>24.241600000000002</v>
      </c>
      <c r="C190" s="4">
        <f>23.8511 * CHOOSE(CONTROL!$C$9, $C$13, 100%, $E$13) + CHOOSE(CONTROL!$C$28, 0.0272, 0)</f>
        <v>23.878299999999999</v>
      </c>
      <c r="D190" s="4">
        <f>33.1884 * CHOOSE(CONTROL!$C$9, $C$13, 100%, $E$13) + CHOOSE(CONTROL!$C$28, 0.0021, 0)</f>
        <v>33.1905</v>
      </c>
      <c r="E190" s="4">
        <f>153.451030483068 * CHOOSE(CONTROL!$C$9, $C$13, 100%, $E$13) + CHOOSE(CONTROL!$C$28, 0.0021, 0)</f>
        <v>153.45313048306801</v>
      </c>
    </row>
    <row r="191" spans="1:5" ht="15">
      <c r="A191" s="13">
        <v>46935</v>
      </c>
      <c r="B191" s="4">
        <f>24.2069 * CHOOSE(CONTROL!$C$9, $C$13, 100%, $E$13) + CHOOSE(CONTROL!$C$28, 0.0272, 0)</f>
        <v>24.234100000000002</v>
      </c>
      <c r="C191" s="4">
        <f>23.8436 * CHOOSE(CONTROL!$C$9, $C$13, 100%, $E$13) + CHOOSE(CONTROL!$C$28, 0.0272, 0)</f>
        <v>23.870799999999999</v>
      </c>
      <c r="D191" s="4">
        <f>33.7054 * CHOOSE(CONTROL!$C$9, $C$13, 100%, $E$13) + CHOOSE(CONTROL!$C$28, 0.0021, 0)</f>
        <v>33.707499999999996</v>
      </c>
      <c r="E191" s="4">
        <f>153.402222903398 * CHOOSE(CONTROL!$C$9, $C$13, 100%, $E$13) + CHOOSE(CONTROL!$C$28, 0.0021, 0)</f>
        <v>153.40432290339803</v>
      </c>
    </row>
    <row r="192" spans="1:5" ht="15">
      <c r="A192" s="13">
        <v>46966</v>
      </c>
      <c r="B192" s="4">
        <f>24.768 * CHOOSE(CONTROL!$C$9, $C$13, 100%, $E$13) + CHOOSE(CONTROL!$C$28, 0.0272, 0)</f>
        <v>24.795200000000001</v>
      </c>
      <c r="C192" s="4">
        <f>24.4047 * CHOOSE(CONTROL!$C$9, $C$13, 100%, $E$13) + CHOOSE(CONTROL!$C$28, 0.0272, 0)</f>
        <v>24.431899999999999</v>
      </c>
      <c r="D192" s="4">
        <f>33.364 * CHOOSE(CONTROL!$C$9, $C$13, 100%, $E$13) + CHOOSE(CONTROL!$C$28, 0.0021, 0)</f>
        <v>33.366099999999996</v>
      </c>
      <c r="E192" s="4">
        <f>157.074993273579 * CHOOSE(CONTROL!$C$9, $C$13, 100%, $E$13) + CHOOSE(CONTROL!$C$28, 0.0021, 0)</f>
        <v>157.07709327357901</v>
      </c>
    </row>
    <row r="193" spans="1:5" ht="15">
      <c r="A193" s="13">
        <v>46997</v>
      </c>
      <c r="B193" s="4">
        <f>23.8118 * CHOOSE(CONTROL!$C$9, $C$13, 100%, $E$13) + CHOOSE(CONTROL!$C$28, 0.0272, 0)</f>
        <v>23.839000000000002</v>
      </c>
      <c r="C193" s="4">
        <f>23.4485 * CHOOSE(CONTROL!$C$9, $C$13, 100%, $E$13) + CHOOSE(CONTROL!$C$28, 0.0272, 0)</f>
        <v>23.4757</v>
      </c>
      <c r="D193" s="4">
        <f>33.2026 * CHOOSE(CONTROL!$C$9, $C$13, 100%, $E$13) + CHOOSE(CONTROL!$C$28, 0.0021, 0)</f>
        <v>33.204699999999995</v>
      </c>
      <c r="E193" s="4">
        <f>150.815421180878 * CHOOSE(CONTROL!$C$9, $C$13, 100%, $E$13) + CHOOSE(CONTROL!$C$28, 0.0021, 0)</f>
        <v>150.817521180878</v>
      </c>
    </row>
    <row r="194" spans="1:5" ht="15">
      <c r="A194" s="13">
        <v>47027</v>
      </c>
      <c r="B194" s="4">
        <f>23.0463 * CHOOSE(CONTROL!$C$9, $C$13, 100%, $E$13) + CHOOSE(CONTROL!$C$28, 0.0272, 0)</f>
        <v>23.073499999999999</v>
      </c>
      <c r="C194" s="4">
        <f>22.683 * CHOOSE(CONTROL!$C$9, $C$13, 100%, $E$13) + CHOOSE(CONTROL!$C$28, 0.0272, 0)</f>
        <v>22.7102</v>
      </c>
      <c r="D194" s="4">
        <f>32.7706 * CHOOSE(CONTROL!$C$9, $C$13, 100%, $E$13) + CHOOSE(CONTROL!$C$28, 0.0021, 0)</f>
        <v>32.7727</v>
      </c>
      <c r="E194" s="4">
        <f>145.804509668072 * CHOOSE(CONTROL!$C$9, $C$13, 100%, $E$13) + CHOOSE(CONTROL!$C$28, 0.0021, 0)</f>
        <v>145.80660966807201</v>
      </c>
    </row>
    <row r="195" spans="1:5" ht="15">
      <c r="A195" s="13">
        <v>47058</v>
      </c>
      <c r="B195" s="4">
        <f>22.5533 * CHOOSE(CONTROL!$C$9, $C$13, 100%, $E$13) + CHOOSE(CONTROL!$C$28, 0.0272, 0)</f>
        <v>22.580500000000001</v>
      </c>
      <c r="C195" s="4">
        <f>22.19 * CHOOSE(CONTROL!$C$9, $C$13, 100%, $E$13) + CHOOSE(CONTROL!$C$28, 0.0272, 0)</f>
        <v>22.217200000000002</v>
      </c>
      <c r="D195" s="4">
        <f>32.6221 * CHOOSE(CONTROL!$C$9, $C$13, 100%, $E$13) + CHOOSE(CONTROL!$C$28, 0.0021, 0)</f>
        <v>32.624200000000002</v>
      </c>
      <c r="E195" s="4">
        <f>142.577108462381 * CHOOSE(CONTROL!$C$9, $C$13, 100%, $E$13) + CHOOSE(CONTROL!$C$28, 0.0021, 0)</f>
        <v>142.57920846238102</v>
      </c>
    </row>
    <row r="196" spans="1:5" ht="15">
      <c r="A196" s="13">
        <v>47088</v>
      </c>
      <c r="B196" s="4">
        <f>22.2122 * CHOOSE(CONTROL!$C$9, $C$13, 100%, $E$13) + CHOOSE(CONTROL!$C$28, 0.0272, 0)</f>
        <v>22.2394</v>
      </c>
      <c r="C196" s="4">
        <f>21.8489 * CHOOSE(CONTROL!$C$9, $C$13, 100%, $E$13) + CHOOSE(CONTROL!$C$28, 0.0272, 0)</f>
        <v>21.876100000000001</v>
      </c>
      <c r="D196" s="4">
        <f>31.5288 * CHOOSE(CONTROL!$C$9, $C$13, 100%, $E$13) + CHOOSE(CONTROL!$C$28, 0.0021, 0)</f>
        <v>31.530899999999999</v>
      </c>
      <c r="E196" s="4">
        <f>140.34416169247 * CHOOSE(CONTROL!$C$9, $C$13, 100%, $E$13) + CHOOSE(CONTROL!$C$28, 0.0021, 0)</f>
        <v>140.34626169247002</v>
      </c>
    </row>
    <row r="197" spans="1:5" ht="15">
      <c r="A197" s="13">
        <v>47119</v>
      </c>
      <c r="B197" s="4">
        <f>21.8054 * CHOOSE(CONTROL!$C$9, $C$13, 100%, $E$13) + CHOOSE(CONTROL!$C$28, 0.0272, 0)</f>
        <v>21.832599999999999</v>
      </c>
      <c r="C197" s="4">
        <f>21.4421 * CHOOSE(CONTROL!$C$9, $C$13, 100%, $E$13) + CHOOSE(CONTROL!$C$28, 0.0272, 0)</f>
        <v>21.4693</v>
      </c>
      <c r="D197" s="4">
        <f>30.7508 * CHOOSE(CONTROL!$C$9, $C$13, 100%, $E$13) + CHOOSE(CONTROL!$C$28, 0.0021, 0)</f>
        <v>30.7529</v>
      </c>
      <c r="E197" s="4">
        <f>137.564713648645 * CHOOSE(CONTROL!$C$9, $C$13, 100%, $E$13) + CHOOSE(CONTROL!$C$28, 0.0021, 0)</f>
        <v>137.56681364864502</v>
      </c>
    </row>
    <row r="198" spans="1:5" ht="15">
      <c r="A198" s="13">
        <v>47150</v>
      </c>
      <c r="B198" s="4">
        <f>22.3048 * CHOOSE(CONTROL!$C$9, $C$13, 100%, $E$13) + CHOOSE(CONTROL!$C$28, 0.0272, 0)</f>
        <v>22.332000000000001</v>
      </c>
      <c r="C198" s="4">
        <f>21.9415 * CHOOSE(CONTROL!$C$9, $C$13, 100%, $E$13) + CHOOSE(CONTROL!$C$28, 0.0272, 0)</f>
        <v>21.968700000000002</v>
      </c>
      <c r="D198" s="4">
        <f>31.7707 * CHOOSE(CONTROL!$C$9, $C$13, 100%, $E$13) + CHOOSE(CONTROL!$C$28, 0.0021, 0)</f>
        <v>31.7728</v>
      </c>
      <c r="E198" s="4">
        <f>140.831042080742 * CHOOSE(CONTROL!$C$9, $C$13, 100%, $E$13) + CHOOSE(CONTROL!$C$28, 0.0021, 0)</f>
        <v>140.83314208074202</v>
      </c>
    </row>
    <row r="199" spans="1:5" ht="15">
      <c r="A199" s="13">
        <v>47178</v>
      </c>
      <c r="B199" s="4">
        <f>23.6162 * CHOOSE(CONTROL!$C$9, $C$13, 100%, $E$13) + CHOOSE(CONTROL!$C$28, 0.0272, 0)</f>
        <v>23.6434</v>
      </c>
      <c r="C199" s="4">
        <f>23.2529 * CHOOSE(CONTROL!$C$9, $C$13, 100%, $E$13) + CHOOSE(CONTROL!$C$28, 0.0272, 0)</f>
        <v>23.280100000000001</v>
      </c>
      <c r="D199" s="4">
        <f>33.3674 * CHOOSE(CONTROL!$C$9, $C$13, 100%, $E$13) + CHOOSE(CONTROL!$C$28, 0.0021, 0)</f>
        <v>33.369500000000002</v>
      </c>
      <c r="E199" s="4">
        <f>149.408594126665 * CHOOSE(CONTROL!$C$9, $C$13, 100%, $E$13) + CHOOSE(CONTROL!$C$28, 0.0021, 0)</f>
        <v>149.41069412666502</v>
      </c>
    </row>
    <row r="200" spans="1:5" ht="15">
      <c r="A200" s="13">
        <v>47209</v>
      </c>
      <c r="B200" s="4">
        <f>24.548 * CHOOSE(CONTROL!$C$9, $C$13, 100%, $E$13) + CHOOSE(CONTROL!$C$28, 0.0272, 0)</f>
        <v>24.575199999999999</v>
      </c>
      <c r="C200" s="4">
        <f>24.1847 * CHOOSE(CONTROL!$C$9, $C$13, 100%, $E$13) + CHOOSE(CONTROL!$C$28, 0.0272, 0)</f>
        <v>24.2119</v>
      </c>
      <c r="D200" s="4">
        <f>34.2871 * CHOOSE(CONTROL!$C$9, $C$13, 100%, $E$13) + CHOOSE(CONTROL!$C$28, 0.0021, 0)</f>
        <v>34.289200000000001</v>
      </c>
      <c r="E200" s="4">
        <f>155.503059166204 * CHOOSE(CONTROL!$C$9, $C$13, 100%, $E$13) + CHOOSE(CONTROL!$C$28, 0.0021, 0)</f>
        <v>155.50515916620401</v>
      </c>
    </row>
    <row r="201" spans="1:5" ht="15">
      <c r="A201" s="13">
        <v>47239</v>
      </c>
      <c r="B201" s="4">
        <f>25.1172 * CHOOSE(CONTROL!$C$9, $C$13, 100%, $E$13) + CHOOSE(CONTROL!$C$28, 0.0272, 0)</f>
        <v>25.144400000000001</v>
      </c>
      <c r="C201" s="4">
        <f>24.754 * CHOOSE(CONTROL!$C$9, $C$13, 100%, $E$13) + CHOOSE(CONTROL!$C$28, 0.0272, 0)</f>
        <v>24.781200000000002</v>
      </c>
      <c r="D201" s="4">
        <f>33.9237 * CHOOSE(CONTROL!$C$9, $C$13, 100%, $E$13) + CHOOSE(CONTROL!$C$28, 0.0021, 0)</f>
        <v>33.925799999999995</v>
      </c>
      <c r="E201" s="4">
        <f>159.226631241421 * CHOOSE(CONTROL!$C$9, $C$13, 100%, $E$13) + CHOOSE(CONTROL!$C$28, 0.0021, 0)</f>
        <v>159.228731241421</v>
      </c>
    </row>
    <row r="202" spans="1:5" ht="15">
      <c r="A202" s="13">
        <v>47270</v>
      </c>
      <c r="B202" s="4">
        <f>25.1943 * CHOOSE(CONTROL!$C$9, $C$13, 100%, $E$13) + CHOOSE(CONTROL!$C$28, 0.0272, 0)</f>
        <v>25.221499999999999</v>
      </c>
      <c r="C202" s="4">
        <f>24.831 * CHOOSE(CONTROL!$C$9, $C$13, 100%, $E$13) + CHOOSE(CONTROL!$C$28, 0.0272, 0)</f>
        <v>24.8582</v>
      </c>
      <c r="D202" s="4">
        <f>34.2197 * CHOOSE(CONTROL!$C$9, $C$13, 100%, $E$13) + CHOOSE(CONTROL!$C$28, 0.0021, 0)</f>
        <v>34.221800000000002</v>
      </c>
      <c r="E202" s="4">
        <f>159.73044599634 * CHOOSE(CONTROL!$C$9, $C$13, 100%, $E$13) + CHOOSE(CONTROL!$C$28, 0.0021, 0)</f>
        <v>159.73254599634001</v>
      </c>
    </row>
    <row r="203" spans="1:5" ht="15">
      <c r="A203" s="13">
        <v>47300</v>
      </c>
      <c r="B203" s="4">
        <f>25.1865 * CHOOSE(CONTROL!$C$9, $C$13, 100%, $E$13) + CHOOSE(CONTROL!$C$28, 0.0272, 0)</f>
        <v>25.213699999999999</v>
      </c>
      <c r="C203" s="4">
        <f>24.8232 * CHOOSE(CONTROL!$C$9, $C$13, 100%, $E$13) + CHOOSE(CONTROL!$C$28, 0.0272, 0)</f>
        <v>24.8504</v>
      </c>
      <c r="D203" s="4">
        <f>34.7537 * CHOOSE(CONTROL!$C$9, $C$13, 100%, $E$13) + CHOOSE(CONTROL!$C$28, 0.0021, 0)</f>
        <v>34.755800000000001</v>
      </c>
      <c r="E203" s="4">
        <f>159.679641147104 * CHOOSE(CONTROL!$C$9, $C$13, 100%, $E$13) + CHOOSE(CONTROL!$C$28, 0.0021, 0)</f>
        <v>159.68174114710402</v>
      </c>
    </row>
    <row r="204" spans="1:5" ht="15">
      <c r="A204" s="13">
        <v>47331</v>
      </c>
      <c r="B204" s="4">
        <f>25.771 * CHOOSE(CONTROL!$C$9, $C$13, 100%, $E$13) + CHOOSE(CONTROL!$C$28, 0.0272, 0)</f>
        <v>25.798200000000001</v>
      </c>
      <c r="C204" s="4">
        <f>25.4077 * CHOOSE(CONTROL!$C$9, $C$13, 100%, $E$13) + CHOOSE(CONTROL!$C$28, 0.0272, 0)</f>
        <v>25.434899999999999</v>
      </c>
      <c r="D204" s="4">
        <f>34.401 * CHOOSE(CONTROL!$C$9, $C$13, 100%, $E$13) + CHOOSE(CONTROL!$C$28, 0.0021, 0)</f>
        <v>34.403100000000002</v>
      </c>
      <c r="E204" s="4">
        <f>163.502706052074 * CHOOSE(CONTROL!$C$9, $C$13, 100%, $E$13) + CHOOSE(CONTROL!$C$28, 0.0021, 0)</f>
        <v>163.504806052074</v>
      </c>
    </row>
    <row r="205" spans="1:5" ht="15">
      <c r="A205" s="13">
        <v>47362</v>
      </c>
      <c r="B205" s="4">
        <f>24.7748 * CHOOSE(CONTROL!$C$9, $C$13, 100%, $E$13) + CHOOSE(CONTROL!$C$28, 0.0272, 0)</f>
        <v>24.802</v>
      </c>
      <c r="C205" s="4">
        <f>24.4115 * CHOOSE(CONTROL!$C$9, $C$13, 100%, $E$13) + CHOOSE(CONTROL!$C$28, 0.0272, 0)</f>
        <v>24.438700000000001</v>
      </c>
      <c r="D205" s="4">
        <f>34.2344 * CHOOSE(CONTROL!$C$9, $C$13, 100%, $E$13) + CHOOSE(CONTROL!$C$28, 0.0021, 0)</f>
        <v>34.236499999999999</v>
      </c>
      <c r="E205" s="4">
        <f>156.986984137624 * CHOOSE(CONTROL!$C$9, $C$13, 100%, $E$13) + CHOOSE(CONTROL!$C$28, 0.0021, 0)</f>
        <v>156.98908413762402</v>
      </c>
    </row>
    <row r="206" spans="1:5" ht="15">
      <c r="A206" s="13">
        <v>47392</v>
      </c>
      <c r="B206" s="4">
        <f>23.9774 * CHOOSE(CONTROL!$C$9, $C$13, 100%, $E$13) + CHOOSE(CONTROL!$C$28, 0.0272, 0)</f>
        <v>24.0046</v>
      </c>
      <c r="C206" s="4">
        <f>23.6141 * CHOOSE(CONTROL!$C$9, $C$13, 100%, $E$13) + CHOOSE(CONTROL!$C$28, 0.0272, 0)</f>
        <v>23.641300000000001</v>
      </c>
      <c r="D206" s="4">
        <f>33.7882 * CHOOSE(CONTROL!$C$9, $C$13, 100%, $E$13) + CHOOSE(CONTROL!$C$28, 0.0021, 0)</f>
        <v>33.790300000000002</v>
      </c>
      <c r="E206" s="4">
        <f>151.771019616115 * CHOOSE(CONTROL!$C$9, $C$13, 100%, $E$13) + CHOOSE(CONTROL!$C$28, 0.0021, 0)</f>
        <v>151.77311961611503</v>
      </c>
    </row>
    <row r="207" spans="1:5" ht="15">
      <c r="A207" s="13">
        <v>47423</v>
      </c>
      <c r="B207" s="4">
        <f>23.4637 * CHOOSE(CONTROL!$C$9, $C$13, 100%, $E$13) + CHOOSE(CONTROL!$C$28, 0.0272, 0)</f>
        <v>23.4909</v>
      </c>
      <c r="C207" s="4">
        <f>23.1005 * CHOOSE(CONTROL!$C$9, $C$13, 100%, $E$13) + CHOOSE(CONTROL!$C$28, 0.0272, 0)</f>
        <v>23.127700000000001</v>
      </c>
      <c r="D207" s="4">
        <f>33.6348 * CHOOSE(CONTROL!$C$9, $C$13, 100%, $E$13) + CHOOSE(CONTROL!$C$28, 0.0021, 0)</f>
        <v>33.636899999999997</v>
      </c>
      <c r="E207" s="4">
        <f>148.411548960419 * CHOOSE(CONTROL!$C$9, $C$13, 100%, $E$13) + CHOOSE(CONTROL!$C$28, 0.0021, 0)</f>
        <v>148.41364896041901</v>
      </c>
    </row>
    <row r="208" spans="1:5" ht="15">
      <c r="A208" s="13">
        <v>47453</v>
      </c>
      <c r="B208" s="4">
        <f>23.1084 * CHOOSE(CONTROL!$C$9, $C$13, 100%, $E$13) + CHOOSE(CONTROL!$C$28, 0.0272, 0)</f>
        <v>23.1356</v>
      </c>
      <c r="C208" s="4">
        <f>22.7451 * CHOOSE(CONTROL!$C$9, $C$13, 100%, $E$13) + CHOOSE(CONTROL!$C$28, 0.0272, 0)</f>
        <v>22.772300000000001</v>
      </c>
      <c r="D208" s="4">
        <f>32.5054 * CHOOSE(CONTROL!$C$9, $C$13, 100%, $E$13) + CHOOSE(CONTROL!$C$28, 0.0021, 0)</f>
        <v>32.5075</v>
      </c>
      <c r="E208" s="4">
        <f>146.087227107896 * CHOOSE(CONTROL!$C$9, $C$13, 100%, $E$13) + CHOOSE(CONTROL!$C$28, 0.0021, 0)</f>
        <v>146.08932710789603</v>
      </c>
    </row>
    <row r="209" spans="1:5" ht="15">
      <c r="A209" s="13">
        <v>47484</v>
      </c>
      <c r="B209" s="4">
        <f>22.6854 * CHOOSE(CONTROL!$C$9, $C$13, 100%, $E$13) + CHOOSE(CONTROL!$C$28, 0.0272, 0)</f>
        <v>22.712600000000002</v>
      </c>
      <c r="C209" s="4">
        <f>22.3221 * CHOOSE(CONTROL!$C$9, $C$13, 100%, $E$13) + CHOOSE(CONTROL!$C$28, 0.0272, 0)</f>
        <v>22.349299999999999</v>
      </c>
      <c r="D209" s="4">
        <f>31.7195 * CHOOSE(CONTROL!$C$9, $C$13, 100%, $E$13) + CHOOSE(CONTROL!$C$28, 0.0021, 0)</f>
        <v>31.721599999999999</v>
      </c>
      <c r="E209" s="4">
        <f>143.202641555372 * CHOOSE(CONTROL!$C$9, $C$13, 100%, $E$13) + CHOOSE(CONTROL!$C$28, 0.0021, 0)</f>
        <v>143.20474155537201</v>
      </c>
    </row>
    <row r="210" spans="1:5" ht="15">
      <c r="A210" s="13">
        <v>47515</v>
      </c>
      <c r="B210" s="4">
        <f>23.2057 * CHOOSE(CONTROL!$C$9, $C$13, 100%, $E$13) + CHOOSE(CONTROL!$C$28, 0.0272, 0)</f>
        <v>23.232900000000001</v>
      </c>
      <c r="C210" s="4">
        <f>22.8424 * CHOOSE(CONTROL!$C$9, $C$13, 100%, $E$13) + CHOOSE(CONTROL!$C$28, 0.0272, 0)</f>
        <v>22.869600000000002</v>
      </c>
      <c r="D210" s="4">
        <f>32.7736 * CHOOSE(CONTROL!$C$9, $C$13, 100%, $E$13) + CHOOSE(CONTROL!$C$28, 0.0021, 0)</f>
        <v>32.775700000000001</v>
      </c>
      <c r="E210" s="4">
        <f>146.602836614539 * CHOOSE(CONTROL!$C$9, $C$13, 100%, $E$13) + CHOOSE(CONTROL!$C$28, 0.0021, 0)</f>
        <v>146.60493661453901</v>
      </c>
    </row>
    <row r="211" spans="1:5" ht="15">
      <c r="A211" s="13">
        <v>47543</v>
      </c>
      <c r="B211" s="4">
        <f>24.5719 * CHOOSE(CONTROL!$C$9, $C$13, 100%, $E$13) + CHOOSE(CONTROL!$C$28, 0.0272, 0)</f>
        <v>24.5991</v>
      </c>
      <c r="C211" s="4">
        <f>24.2087 * CHOOSE(CONTROL!$C$9, $C$13, 100%, $E$13) + CHOOSE(CONTROL!$C$28, 0.0272, 0)</f>
        <v>24.235900000000001</v>
      </c>
      <c r="D211" s="4">
        <f>34.4238 * CHOOSE(CONTROL!$C$9, $C$13, 100%, $E$13) + CHOOSE(CONTROL!$C$28, 0.0021, 0)</f>
        <v>34.425899999999999</v>
      </c>
      <c r="E211" s="4">
        <f>155.53192953725 * CHOOSE(CONTROL!$C$9, $C$13, 100%, $E$13) + CHOOSE(CONTROL!$C$28, 0.0021, 0)</f>
        <v>155.53402953725001</v>
      </c>
    </row>
    <row r="212" spans="1:5" ht="15">
      <c r="A212" s="13">
        <v>47574</v>
      </c>
      <c r="B212" s="4">
        <f>25.5427 * CHOOSE(CONTROL!$C$9, $C$13, 100%, $E$13) + CHOOSE(CONTROL!$C$28, 0.0272, 0)</f>
        <v>25.569900000000001</v>
      </c>
      <c r="C212" s="4">
        <f>25.1794 * CHOOSE(CONTROL!$C$9, $C$13, 100%, $E$13) + CHOOSE(CONTROL!$C$28, 0.0272, 0)</f>
        <v>25.206600000000002</v>
      </c>
      <c r="D212" s="4">
        <f>35.3744 * CHOOSE(CONTROL!$C$9, $C$13, 100%, $E$13) + CHOOSE(CONTROL!$C$28, 0.0021, 0)</f>
        <v>35.3765</v>
      </c>
      <c r="E212" s="4">
        <f>161.876169054645 * CHOOSE(CONTROL!$C$9, $C$13, 100%, $E$13) + CHOOSE(CONTROL!$C$28, 0.0021, 0)</f>
        <v>161.87826905464502</v>
      </c>
    </row>
    <row r="213" spans="1:5" ht="15">
      <c r="A213" s="13">
        <v>47604</v>
      </c>
      <c r="B213" s="4">
        <f>26.1358 * CHOOSE(CONTROL!$C$9, $C$13, 100%, $E$13) + CHOOSE(CONTROL!$C$28, 0.0272, 0)</f>
        <v>26.163</v>
      </c>
      <c r="C213" s="4">
        <f>25.7725 * CHOOSE(CONTROL!$C$9, $C$13, 100%, $E$13) + CHOOSE(CONTROL!$C$28, 0.0272, 0)</f>
        <v>25.799700000000001</v>
      </c>
      <c r="D213" s="4">
        <f>34.9988 * CHOOSE(CONTROL!$C$9, $C$13, 100%, $E$13) + CHOOSE(CONTROL!$C$28, 0.0021, 0)</f>
        <v>35.000900000000001</v>
      </c>
      <c r="E213" s="4">
        <f>165.752347349573 * CHOOSE(CONTROL!$C$9, $C$13, 100%, $E$13) + CHOOSE(CONTROL!$C$28, 0.0021, 0)</f>
        <v>165.75444734957301</v>
      </c>
    </row>
    <row r="214" spans="1:5" ht="15">
      <c r="A214" s="13">
        <v>47635</v>
      </c>
      <c r="B214" s="4">
        <f>26.216 * CHOOSE(CONTROL!$C$9, $C$13, 100%, $E$13) + CHOOSE(CONTROL!$C$28, 0.0272, 0)</f>
        <v>26.243200000000002</v>
      </c>
      <c r="C214" s="4">
        <f>25.8528 * CHOOSE(CONTROL!$C$9, $C$13, 100%, $E$13) + CHOOSE(CONTROL!$C$28, 0.0272, 0)</f>
        <v>25.88</v>
      </c>
      <c r="D214" s="4">
        <f>35.3047 * CHOOSE(CONTROL!$C$9, $C$13, 100%, $E$13) + CHOOSE(CONTROL!$C$28, 0.0021, 0)</f>
        <v>35.306799999999996</v>
      </c>
      <c r="E214" s="4">
        <f>166.276810359347 * CHOOSE(CONTROL!$C$9, $C$13, 100%, $E$13) + CHOOSE(CONTROL!$C$28, 0.0021, 0)</f>
        <v>166.27891035934701</v>
      </c>
    </row>
    <row r="215" spans="1:5" ht="15">
      <c r="A215" s="13">
        <v>47665</v>
      </c>
      <c r="B215" s="4">
        <f>26.208 * CHOOSE(CONTROL!$C$9, $C$13, 100%, $E$13) + CHOOSE(CONTROL!$C$28, 0.0272, 0)</f>
        <v>26.235199999999999</v>
      </c>
      <c r="C215" s="4">
        <f>25.8447 * CHOOSE(CONTROL!$C$9, $C$13, 100%, $E$13) + CHOOSE(CONTROL!$C$28, 0.0272, 0)</f>
        <v>25.8719</v>
      </c>
      <c r="D215" s="4">
        <f>35.8566 * CHOOSE(CONTROL!$C$9, $C$13, 100%, $E$13) + CHOOSE(CONTROL!$C$28, 0.0021, 0)</f>
        <v>35.858699999999999</v>
      </c>
      <c r="E215" s="4">
        <f>166.223923333152 * CHOOSE(CONTROL!$C$9, $C$13, 100%, $E$13) + CHOOSE(CONTROL!$C$28, 0.0021, 0)</f>
        <v>166.226023333152</v>
      </c>
    </row>
    <row r="216" spans="1:5" ht="15">
      <c r="A216" s="13">
        <v>47696</v>
      </c>
      <c r="B216" s="4">
        <f>26.8169 * CHOOSE(CONTROL!$C$9, $C$13, 100%, $E$13) + CHOOSE(CONTROL!$C$28, 0.0272, 0)</f>
        <v>26.844100000000001</v>
      </c>
      <c r="C216" s="4">
        <f>26.4536 * CHOOSE(CONTROL!$C$9, $C$13, 100%, $E$13) + CHOOSE(CONTROL!$C$28, 0.0272, 0)</f>
        <v>26.480800000000002</v>
      </c>
      <c r="D216" s="4">
        <f>35.4921 * CHOOSE(CONTROL!$C$9, $C$13, 100%, $E$13) + CHOOSE(CONTROL!$C$28, 0.0021, 0)</f>
        <v>35.494199999999999</v>
      </c>
      <c r="E216" s="4">
        <f>170.203672054379 * CHOOSE(CONTROL!$C$9, $C$13, 100%, $E$13) + CHOOSE(CONTROL!$C$28, 0.0021, 0)</f>
        <v>170.20577205437903</v>
      </c>
    </row>
    <row r="217" spans="1:5" ht="15">
      <c r="A217" s="13">
        <v>47727</v>
      </c>
      <c r="B217" s="4">
        <f>25.7791 * CHOOSE(CONTROL!$C$9, $C$13, 100%, $E$13) + CHOOSE(CONTROL!$C$28, 0.0272, 0)</f>
        <v>25.8063</v>
      </c>
      <c r="C217" s="4">
        <f>25.4158 * CHOOSE(CONTROL!$C$9, $C$13, 100%, $E$13) + CHOOSE(CONTROL!$C$28, 0.0272, 0)</f>
        <v>25.443000000000001</v>
      </c>
      <c r="D217" s="4">
        <f>35.3199 * CHOOSE(CONTROL!$C$9, $C$13, 100%, $E$13) + CHOOSE(CONTROL!$C$28, 0.0021, 0)</f>
        <v>35.321999999999996</v>
      </c>
      <c r="E217" s="4">
        <f>163.420910944778 * CHOOSE(CONTROL!$C$9, $C$13, 100%, $E$13) + CHOOSE(CONTROL!$C$28, 0.0021, 0)</f>
        <v>163.42301094477801</v>
      </c>
    </row>
    <row r="218" spans="1:5" ht="15">
      <c r="A218" s="13">
        <v>47757</v>
      </c>
      <c r="B218" s="4">
        <f>24.9482 * CHOOSE(CONTROL!$C$9, $C$13, 100%, $E$13) + CHOOSE(CONTROL!$C$28, 0.0272, 0)</f>
        <v>24.9754</v>
      </c>
      <c r="C218" s="4">
        <f>24.585 * CHOOSE(CONTROL!$C$9, $C$13, 100%, $E$13) + CHOOSE(CONTROL!$C$28, 0.0272, 0)</f>
        <v>24.612200000000001</v>
      </c>
      <c r="D218" s="4">
        <f>34.8587 * CHOOSE(CONTROL!$C$9, $C$13, 100%, $E$13) + CHOOSE(CONTROL!$C$28, 0.0021, 0)</f>
        <v>34.860799999999998</v>
      </c>
      <c r="E218" s="4">
        <f>157.991176255351 * CHOOSE(CONTROL!$C$9, $C$13, 100%, $E$13) + CHOOSE(CONTROL!$C$28, 0.0021, 0)</f>
        <v>157.99327625535102</v>
      </c>
    </row>
    <row r="219" spans="1:5" ht="15">
      <c r="A219" s="13">
        <v>47788</v>
      </c>
      <c r="B219" s="4">
        <f>24.4131 * CHOOSE(CONTROL!$C$9, $C$13, 100%, $E$13) + CHOOSE(CONTROL!$C$28, 0.0272, 0)</f>
        <v>24.440300000000001</v>
      </c>
      <c r="C219" s="4">
        <f>24.0498 * CHOOSE(CONTROL!$C$9, $C$13, 100%, $E$13) + CHOOSE(CONTROL!$C$28, 0.0272, 0)</f>
        <v>24.077000000000002</v>
      </c>
      <c r="D219" s="4">
        <f>34.7002 * CHOOSE(CONTROL!$C$9, $C$13, 100%, $E$13) + CHOOSE(CONTROL!$C$28, 0.0021, 0)</f>
        <v>34.702300000000001</v>
      </c>
      <c r="E219" s="4">
        <f>154.494021648159 * CHOOSE(CONTROL!$C$9, $C$13, 100%, $E$13) + CHOOSE(CONTROL!$C$28, 0.0021, 0)</f>
        <v>154.496121648159</v>
      </c>
    </row>
    <row r="220" spans="1:5" ht="15">
      <c r="A220" s="13">
        <v>47818</v>
      </c>
      <c r="B220" s="4">
        <f>24.0429 * CHOOSE(CONTROL!$C$9, $C$13, 100%, $E$13) + CHOOSE(CONTROL!$C$28, 0.0272, 0)</f>
        <v>24.0701</v>
      </c>
      <c r="C220" s="4">
        <f>23.6796 * CHOOSE(CONTROL!$C$9, $C$13, 100%, $E$13) + CHOOSE(CONTROL!$C$28, 0.0272, 0)</f>
        <v>23.706800000000001</v>
      </c>
      <c r="D220" s="4">
        <f>33.533 * CHOOSE(CONTROL!$C$9, $C$13, 100%, $E$13) + CHOOSE(CONTROL!$C$28, 0.0021, 0)</f>
        <v>33.5351</v>
      </c>
      <c r="E220" s="4">
        <f>152.074440199705 * CHOOSE(CONTROL!$C$9, $C$13, 100%, $E$13) + CHOOSE(CONTROL!$C$28, 0.0021, 0)</f>
        <v>152.07654019970502</v>
      </c>
    </row>
    <row r="221" spans="1:5" ht="15">
      <c r="A221" s="13">
        <v>47849</v>
      </c>
      <c r="B221" s="4">
        <f>23.3634 * CHOOSE(CONTROL!$C$9, $C$13, 100%, $E$13) + CHOOSE(CONTROL!$C$28, 0.0272, 0)</f>
        <v>23.390599999999999</v>
      </c>
      <c r="C221" s="4">
        <f>23.0001 * CHOOSE(CONTROL!$C$9, $C$13, 100%, $E$13) + CHOOSE(CONTROL!$C$28, 0.0272, 0)</f>
        <v>23.0273</v>
      </c>
      <c r="D221" s="4">
        <f>32.4715 * CHOOSE(CONTROL!$C$9, $C$13, 100%, $E$13) + CHOOSE(CONTROL!$C$28, 0.0021, 0)</f>
        <v>32.473599999999998</v>
      </c>
      <c r="E221" s="4">
        <f>147.587176236882 * CHOOSE(CONTROL!$C$9, $C$13, 100%, $E$13) + CHOOSE(CONTROL!$C$28, 0.0021, 0)</f>
        <v>147.589276236882</v>
      </c>
    </row>
    <row r="222" spans="1:5" ht="15">
      <c r="A222" s="13">
        <v>47880</v>
      </c>
      <c r="B222" s="4">
        <f>23.8997 * CHOOSE(CONTROL!$C$9, $C$13, 100%, $E$13) + CHOOSE(CONTROL!$C$28, 0.0272, 0)</f>
        <v>23.9269</v>
      </c>
      <c r="C222" s="4">
        <f>23.5364 * CHOOSE(CONTROL!$C$9, $C$13, 100%, $E$13) + CHOOSE(CONTROL!$C$28, 0.0272, 0)</f>
        <v>23.563600000000001</v>
      </c>
      <c r="D222" s="4">
        <f>33.5522 * CHOOSE(CONTROL!$C$9, $C$13, 100%, $E$13) + CHOOSE(CONTROL!$C$28, 0.0021, 0)</f>
        <v>33.554299999999998</v>
      </c>
      <c r="E222" s="4">
        <f>151.091477428441 * CHOOSE(CONTROL!$C$9, $C$13, 100%, $E$13) + CHOOSE(CONTROL!$C$28, 0.0021, 0)</f>
        <v>151.09357742844102</v>
      </c>
    </row>
    <row r="223" spans="1:5" ht="15">
      <c r="A223" s="13">
        <v>47908</v>
      </c>
      <c r="B223" s="4">
        <f>25.3083 * CHOOSE(CONTROL!$C$9, $C$13, 100%, $E$13) + CHOOSE(CONTROL!$C$28, 0.0272, 0)</f>
        <v>25.3355</v>
      </c>
      <c r="C223" s="4">
        <f>24.945 * CHOOSE(CONTROL!$C$9, $C$13, 100%, $E$13) + CHOOSE(CONTROL!$C$28, 0.0272, 0)</f>
        <v>24.972200000000001</v>
      </c>
      <c r="D223" s="4">
        <f>35.2439 * CHOOSE(CONTROL!$C$9, $C$13, 100%, $E$13) + CHOOSE(CONTROL!$C$28, 0.0021, 0)</f>
        <v>35.245999999999995</v>
      </c>
      <c r="E223" s="4">
        <f>160.293958587353 * CHOOSE(CONTROL!$C$9, $C$13, 100%, $E$13) + CHOOSE(CONTROL!$C$28, 0.0021, 0)</f>
        <v>160.296058587353</v>
      </c>
    </row>
    <row r="224" spans="1:5" ht="15">
      <c r="A224" s="13">
        <v>47939</v>
      </c>
      <c r="B224" s="4">
        <f>26.3091 * CHOOSE(CONTROL!$C$9, $C$13, 100%, $E$13) + CHOOSE(CONTROL!$C$28, 0.0272, 0)</f>
        <v>26.336300000000001</v>
      </c>
      <c r="C224" s="4">
        <f>25.9458 * CHOOSE(CONTROL!$C$9, $C$13, 100%, $E$13) + CHOOSE(CONTROL!$C$28, 0.0272, 0)</f>
        <v>25.972999999999999</v>
      </c>
      <c r="D224" s="4">
        <f>36.2184 * CHOOSE(CONTROL!$C$9, $C$13, 100%, $E$13) + CHOOSE(CONTROL!$C$28, 0.0021, 0)</f>
        <v>36.220500000000001</v>
      </c>
      <c r="E224" s="4">
        <f>166.832444089945 * CHOOSE(CONTROL!$C$9, $C$13, 100%, $E$13) + CHOOSE(CONTROL!$C$28, 0.0021, 0)</f>
        <v>166.83454408994501</v>
      </c>
    </row>
    <row r="225" spans="1:5" ht="15">
      <c r="A225" s="13">
        <v>47969</v>
      </c>
      <c r="B225" s="4">
        <f>26.9205 * CHOOSE(CONTROL!$C$9, $C$13, 100%, $E$13) + CHOOSE(CONTROL!$C$28, 0.0272, 0)</f>
        <v>26.947700000000001</v>
      </c>
      <c r="C225" s="4">
        <f>26.5572 * CHOOSE(CONTROL!$C$9, $C$13, 100%, $E$13) + CHOOSE(CONTROL!$C$28, 0.0272, 0)</f>
        <v>26.584400000000002</v>
      </c>
      <c r="D225" s="4">
        <f>35.8333 * CHOOSE(CONTROL!$C$9, $C$13, 100%, $E$13) + CHOOSE(CONTROL!$C$28, 0.0021, 0)</f>
        <v>35.8354</v>
      </c>
      <c r="E225" s="4">
        <f>170.827302026402 * CHOOSE(CONTROL!$C$9, $C$13, 100%, $E$13) + CHOOSE(CONTROL!$C$28, 0.0021, 0)</f>
        <v>170.82940202640202</v>
      </c>
    </row>
    <row r="226" spans="1:5" ht="15">
      <c r="A226" s="13">
        <v>48000</v>
      </c>
      <c r="B226" s="4">
        <f>27.0033 * CHOOSE(CONTROL!$C$9, $C$13, 100%, $E$13) + CHOOSE(CONTROL!$C$28, 0.0272, 0)</f>
        <v>27.0305</v>
      </c>
      <c r="C226" s="4">
        <f>26.64 * CHOOSE(CONTROL!$C$9, $C$13, 100%, $E$13) + CHOOSE(CONTROL!$C$28, 0.0272, 0)</f>
        <v>26.667200000000001</v>
      </c>
      <c r="D226" s="4">
        <f>36.1469 * CHOOSE(CONTROL!$C$9, $C$13, 100%, $E$13) + CHOOSE(CONTROL!$C$28, 0.0021, 0)</f>
        <v>36.149000000000001</v>
      </c>
      <c r="E226" s="4">
        <f>171.367822884206 * CHOOSE(CONTROL!$C$9, $C$13, 100%, $E$13) + CHOOSE(CONTROL!$C$28, 0.0021, 0)</f>
        <v>171.36992288420601</v>
      </c>
    </row>
    <row r="227" spans="1:5" ht="15">
      <c r="A227" s="13">
        <v>48030</v>
      </c>
      <c r="B227" s="4">
        <f>26.9949 * CHOOSE(CONTROL!$C$9, $C$13, 100%, $E$13) + CHOOSE(CONTROL!$C$28, 0.0272, 0)</f>
        <v>27.022100000000002</v>
      </c>
      <c r="C227" s="4">
        <f>26.6316 * CHOOSE(CONTROL!$C$9, $C$13, 100%, $E$13) + CHOOSE(CONTROL!$C$28, 0.0272, 0)</f>
        <v>26.658799999999999</v>
      </c>
      <c r="D227" s="4">
        <f>36.7128 * CHOOSE(CONTROL!$C$9, $C$13, 100%, $E$13) + CHOOSE(CONTROL!$C$28, 0.0021, 0)</f>
        <v>36.7149</v>
      </c>
      <c r="E227" s="4">
        <f>171.313316579218 * CHOOSE(CONTROL!$C$9, $C$13, 100%, $E$13) + CHOOSE(CONTROL!$C$28, 0.0021, 0)</f>
        <v>171.31541657921801</v>
      </c>
    </row>
    <row r="228" spans="1:5" ht="15">
      <c r="A228" s="13">
        <v>48061</v>
      </c>
      <c r="B228" s="4">
        <f>27.6227 * CHOOSE(CONTROL!$C$9, $C$13, 100%, $E$13) + CHOOSE(CONTROL!$C$28, 0.0272, 0)</f>
        <v>27.649899999999999</v>
      </c>
      <c r="C228" s="4">
        <f>27.2594 * CHOOSE(CONTROL!$C$9, $C$13, 100%, $E$13) + CHOOSE(CONTROL!$C$28, 0.0272, 0)</f>
        <v>27.2866</v>
      </c>
      <c r="D228" s="4">
        <f>36.3391 * CHOOSE(CONTROL!$C$9, $C$13, 100%, $E$13) + CHOOSE(CONTROL!$C$28, 0.0021, 0)</f>
        <v>36.341200000000001</v>
      </c>
      <c r="E228" s="4">
        <f>175.414916029611 * CHOOSE(CONTROL!$C$9, $C$13, 100%, $E$13) + CHOOSE(CONTROL!$C$28, 0.0021, 0)</f>
        <v>175.41701602961101</v>
      </c>
    </row>
    <row r="229" spans="1:5" ht="15">
      <c r="A229" s="13">
        <v>48092</v>
      </c>
      <c r="B229" s="4">
        <f>26.5527 * CHOOSE(CONTROL!$C$9, $C$13, 100%, $E$13) + CHOOSE(CONTROL!$C$28, 0.0272, 0)</f>
        <v>26.579900000000002</v>
      </c>
      <c r="C229" s="4">
        <f>26.1895 * CHOOSE(CONTROL!$C$9, $C$13, 100%, $E$13) + CHOOSE(CONTROL!$C$28, 0.0272, 0)</f>
        <v>26.216699999999999</v>
      </c>
      <c r="D229" s="4">
        <f>36.1625 * CHOOSE(CONTROL!$C$9, $C$13, 100%, $E$13) + CHOOSE(CONTROL!$C$28, 0.0021, 0)</f>
        <v>36.1646</v>
      </c>
      <c r="E229" s="4">
        <f>168.424482414821 * CHOOSE(CONTROL!$C$9, $C$13, 100%, $E$13) + CHOOSE(CONTROL!$C$28, 0.0021, 0)</f>
        <v>168.42658241482101</v>
      </c>
    </row>
    <row r="230" spans="1:5" ht="15">
      <c r="A230" s="13">
        <v>48122</v>
      </c>
      <c r="B230" s="4">
        <f>25.6962 * CHOOSE(CONTROL!$C$9, $C$13, 100%, $E$13) + CHOOSE(CONTROL!$C$28, 0.0272, 0)</f>
        <v>25.723400000000002</v>
      </c>
      <c r="C230" s="4">
        <f>25.3329 * CHOOSE(CONTROL!$C$9, $C$13, 100%, $E$13) + CHOOSE(CONTROL!$C$28, 0.0272, 0)</f>
        <v>25.360099999999999</v>
      </c>
      <c r="D230" s="4">
        <f>35.6898 * CHOOSE(CONTROL!$C$9, $C$13, 100%, $E$13) + CHOOSE(CONTROL!$C$28, 0.0021, 0)</f>
        <v>35.691899999999997</v>
      </c>
      <c r="E230" s="4">
        <f>162.828501769323 * CHOOSE(CONTROL!$C$9, $C$13, 100%, $E$13) + CHOOSE(CONTROL!$C$28, 0.0021, 0)</f>
        <v>162.83060176932301</v>
      </c>
    </row>
    <row r="231" spans="1:5" ht="15">
      <c r="A231" s="13">
        <v>48153</v>
      </c>
      <c r="B231" s="4">
        <f>25.1445 * CHOOSE(CONTROL!$C$9, $C$13, 100%, $E$13) + CHOOSE(CONTROL!$C$28, 0.0272, 0)</f>
        <v>25.171700000000001</v>
      </c>
      <c r="C231" s="4">
        <f>24.7813 * CHOOSE(CONTROL!$C$9, $C$13, 100%, $E$13) + CHOOSE(CONTROL!$C$28, 0.0272, 0)</f>
        <v>24.808500000000002</v>
      </c>
      <c r="D231" s="4">
        <f>35.5272 * CHOOSE(CONTROL!$C$9, $C$13, 100%, $E$13) + CHOOSE(CONTROL!$C$28, 0.0021, 0)</f>
        <v>35.529299999999999</v>
      </c>
      <c r="E231" s="4">
        <f>159.224272351951 * CHOOSE(CONTROL!$C$9, $C$13, 100%, $E$13) + CHOOSE(CONTROL!$C$28, 0.0021, 0)</f>
        <v>159.226372351951</v>
      </c>
    </row>
    <row r="232" spans="1:5" ht="15">
      <c r="A232" s="13">
        <v>48183</v>
      </c>
      <c r="B232" s="4">
        <f>24.7629 * CHOOSE(CONTROL!$C$9, $C$13, 100%, $E$13) + CHOOSE(CONTROL!$C$28, 0.0272, 0)</f>
        <v>24.790099999999999</v>
      </c>
      <c r="C232" s="4">
        <f>24.3996 * CHOOSE(CONTROL!$C$9, $C$13, 100%, $E$13) + CHOOSE(CONTROL!$C$28, 0.0272, 0)</f>
        <v>24.4268</v>
      </c>
      <c r="D232" s="4">
        <f>34.3306 * CHOOSE(CONTROL!$C$9, $C$13, 100%, $E$13) + CHOOSE(CONTROL!$C$28, 0.0021, 0)</f>
        <v>34.332699999999996</v>
      </c>
      <c r="E232" s="4">
        <f>156.730608898722 * CHOOSE(CONTROL!$C$9, $C$13, 100%, $E$13) + CHOOSE(CONTROL!$C$28, 0.0021, 0)</f>
        <v>156.73270889872202</v>
      </c>
    </row>
    <row r="233" spans="1:5" ht="15">
      <c r="A233" s="13">
        <v>48214</v>
      </c>
      <c r="B233" s="4">
        <f>24.0554 * CHOOSE(CONTROL!$C$9, $C$13, 100%, $E$13) + CHOOSE(CONTROL!$C$28, 0.0272, 0)</f>
        <v>24.082599999999999</v>
      </c>
      <c r="C233" s="4">
        <f>23.6921 * CHOOSE(CONTROL!$C$9, $C$13, 100%, $E$13) + CHOOSE(CONTROL!$C$28, 0.0272, 0)</f>
        <v>23.7193</v>
      </c>
      <c r="D233" s="4">
        <f>33.2235 * CHOOSE(CONTROL!$C$9, $C$13, 100%, $E$13) + CHOOSE(CONTROL!$C$28, 0.0021, 0)</f>
        <v>33.2256</v>
      </c>
      <c r="E233" s="4">
        <f>151.975237102681 * CHOOSE(CONTROL!$C$9, $C$13, 100%, $E$13) + CHOOSE(CONTROL!$C$28, 0.0021, 0)</f>
        <v>151.97733710268102</v>
      </c>
    </row>
    <row r="234" spans="1:5" ht="15">
      <c r="A234" s="13">
        <v>48245</v>
      </c>
      <c r="B234" s="4">
        <f>24.6082 * CHOOSE(CONTROL!$C$9, $C$13, 100%, $E$13) + CHOOSE(CONTROL!$C$28, 0.0272, 0)</f>
        <v>24.635400000000001</v>
      </c>
      <c r="C234" s="4">
        <f>24.2449 * CHOOSE(CONTROL!$C$9, $C$13, 100%, $E$13) + CHOOSE(CONTROL!$C$28, 0.0272, 0)</f>
        <v>24.272100000000002</v>
      </c>
      <c r="D234" s="4">
        <f>34.3307 * CHOOSE(CONTROL!$C$9, $C$13, 100%, $E$13) + CHOOSE(CONTROL!$C$28, 0.0021, 0)</f>
        <v>34.332799999999999</v>
      </c>
      <c r="E234" s="4">
        <f>155.583728152145 * CHOOSE(CONTROL!$C$9, $C$13, 100%, $E$13) + CHOOSE(CONTROL!$C$28, 0.0021, 0)</f>
        <v>155.58582815214501</v>
      </c>
    </row>
    <row r="235" spans="1:5" ht="15">
      <c r="A235" s="13">
        <v>48274</v>
      </c>
      <c r="B235" s="4">
        <f>26.0599 * CHOOSE(CONTROL!$C$9, $C$13, 100%, $E$13) + CHOOSE(CONTROL!$C$28, 0.0272, 0)</f>
        <v>26.0871</v>
      </c>
      <c r="C235" s="4">
        <f>25.6966 * CHOOSE(CONTROL!$C$9, $C$13, 100%, $E$13) + CHOOSE(CONTROL!$C$28, 0.0272, 0)</f>
        <v>25.723800000000001</v>
      </c>
      <c r="D235" s="4">
        <f>36.064 * CHOOSE(CONTROL!$C$9, $C$13, 100%, $E$13) + CHOOSE(CONTROL!$C$28, 0.0021, 0)</f>
        <v>36.066099999999999</v>
      </c>
      <c r="E235" s="4">
        <f>165.059817414899 * CHOOSE(CONTROL!$C$9, $C$13, 100%, $E$13) + CHOOSE(CONTROL!$C$28, 0.0021, 0)</f>
        <v>165.061917414899</v>
      </c>
    </row>
    <row r="236" spans="1:5" ht="15">
      <c r="A236" s="13">
        <v>48305</v>
      </c>
      <c r="B236" s="4">
        <f>27.0914 * CHOOSE(CONTROL!$C$9, $C$13, 100%, $E$13) + CHOOSE(CONTROL!$C$28, 0.0272, 0)</f>
        <v>27.118600000000001</v>
      </c>
      <c r="C236" s="4">
        <f>26.7281 * CHOOSE(CONTROL!$C$9, $C$13, 100%, $E$13) + CHOOSE(CONTROL!$C$28, 0.0272, 0)</f>
        <v>26.755300000000002</v>
      </c>
      <c r="D236" s="4">
        <f>37.0624 * CHOOSE(CONTROL!$C$9, $C$13, 100%, $E$13) + CHOOSE(CONTROL!$C$28, 0.0021, 0)</f>
        <v>37.064499999999995</v>
      </c>
      <c r="E236" s="4">
        <f>171.792705121579 * CHOOSE(CONTROL!$C$9, $C$13, 100%, $E$13) + CHOOSE(CONTROL!$C$28, 0.0021, 0)</f>
        <v>171.794805121579</v>
      </c>
    </row>
    <row r="237" spans="1:5" ht="15">
      <c r="A237" s="13">
        <v>48335</v>
      </c>
      <c r="B237" s="4">
        <f>27.7216 * CHOOSE(CONTROL!$C$9, $C$13, 100%, $E$13) + CHOOSE(CONTROL!$C$28, 0.0272, 0)</f>
        <v>27.748799999999999</v>
      </c>
      <c r="C237" s="4">
        <f>27.3583 * CHOOSE(CONTROL!$C$9, $C$13, 100%, $E$13) + CHOOSE(CONTROL!$C$28, 0.0272, 0)</f>
        <v>27.3855</v>
      </c>
      <c r="D237" s="4">
        <f>36.6679 * CHOOSE(CONTROL!$C$9, $C$13, 100%, $E$13) + CHOOSE(CONTROL!$C$28, 0.0021, 0)</f>
        <v>36.67</v>
      </c>
      <c r="E237" s="4">
        <f>175.906338145564 * CHOOSE(CONTROL!$C$9, $C$13, 100%, $E$13) + CHOOSE(CONTROL!$C$28, 0.0021, 0)</f>
        <v>175.90843814556402</v>
      </c>
    </row>
    <row r="238" spans="1:5" ht="15">
      <c r="A238" s="13">
        <v>48366</v>
      </c>
      <c r="B238" s="4">
        <f>27.8068 * CHOOSE(CONTROL!$C$9, $C$13, 100%, $E$13) + CHOOSE(CONTROL!$C$28, 0.0272, 0)</f>
        <v>27.834</v>
      </c>
      <c r="C238" s="4">
        <f>27.4436 * CHOOSE(CONTROL!$C$9, $C$13, 100%, $E$13) + CHOOSE(CONTROL!$C$28, 0.0272, 0)</f>
        <v>27.470800000000001</v>
      </c>
      <c r="D238" s="4">
        <f>36.9892 * CHOOSE(CONTROL!$C$9, $C$13, 100%, $E$13) + CHOOSE(CONTROL!$C$28, 0.0021, 0)</f>
        <v>36.991299999999995</v>
      </c>
      <c r="E238" s="4">
        <f>176.462929765637 * CHOOSE(CONTROL!$C$9, $C$13, 100%, $E$13) + CHOOSE(CONTROL!$C$28, 0.0021, 0)</f>
        <v>176.46502976563701</v>
      </c>
    </row>
    <row r="239" spans="1:5" ht="15">
      <c r="A239" s="13">
        <v>48396</v>
      </c>
      <c r="B239" s="4">
        <f>27.7982 * CHOOSE(CONTROL!$C$9, $C$13, 100%, $E$13) + CHOOSE(CONTROL!$C$28, 0.0272, 0)</f>
        <v>27.825400000000002</v>
      </c>
      <c r="C239" s="4">
        <f>27.435 * CHOOSE(CONTROL!$C$9, $C$13, 100%, $E$13) + CHOOSE(CONTROL!$C$28, 0.0272, 0)</f>
        <v>27.462199999999999</v>
      </c>
      <c r="D239" s="4">
        <f>37.569 * CHOOSE(CONTROL!$C$9, $C$13, 100%, $E$13) + CHOOSE(CONTROL!$C$28, 0.0021, 0)</f>
        <v>37.571100000000001</v>
      </c>
      <c r="E239" s="4">
        <f>176.406802879579 * CHOOSE(CONTROL!$C$9, $C$13, 100%, $E$13) + CHOOSE(CONTROL!$C$28, 0.0021, 0)</f>
        <v>176.40890287957902</v>
      </c>
    </row>
    <row r="240" spans="1:5" ht="15">
      <c r="A240" s="13">
        <v>48427</v>
      </c>
      <c r="B240" s="4">
        <f>28.4453 * CHOOSE(CONTROL!$C$9, $C$13, 100%, $E$13) + CHOOSE(CONTROL!$C$28, 0.0272, 0)</f>
        <v>28.4725</v>
      </c>
      <c r="C240" s="4">
        <f>28.082 * CHOOSE(CONTROL!$C$9, $C$13, 100%, $E$13) + CHOOSE(CONTROL!$C$28, 0.0272, 0)</f>
        <v>28.109200000000001</v>
      </c>
      <c r="D240" s="4">
        <f>37.1861 * CHOOSE(CONTROL!$C$9, $C$13, 100%, $E$13) + CHOOSE(CONTROL!$C$28, 0.0021, 0)</f>
        <v>37.188200000000002</v>
      </c>
      <c r="E240" s="4">
        <f>180.630351055426 * CHOOSE(CONTROL!$C$9, $C$13, 100%, $E$13) + CHOOSE(CONTROL!$C$28, 0.0021, 0)</f>
        <v>180.632451055426</v>
      </c>
    </row>
    <row r="241" spans="1:5" ht="15">
      <c r="A241" s="13">
        <v>48458</v>
      </c>
      <c r="B241" s="4">
        <f>27.3425 * CHOOSE(CONTROL!$C$9, $C$13, 100%, $E$13) + CHOOSE(CONTROL!$C$28, 0.0272, 0)</f>
        <v>27.369700000000002</v>
      </c>
      <c r="C241" s="4">
        <f>26.9792 * CHOOSE(CONTROL!$C$9, $C$13, 100%, $E$13) + CHOOSE(CONTROL!$C$28, 0.0272, 0)</f>
        <v>27.006399999999999</v>
      </c>
      <c r="D241" s="4">
        <f>37.0052 * CHOOSE(CONTROL!$C$9, $C$13, 100%, $E$13) + CHOOSE(CONTROL!$C$28, 0.0021, 0)</f>
        <v>37.007300000000001</v>
      </c>
      <c r="E241" s="4">
        <f>173.432077918517 * CHOOSE(CONTROL!$C$9, $C$13, 100%, $E$13) + CHOOSE(CONTROL!$C$28, 0.0021, 0)</f>
        <v>173.43417791851701</v>
      </c>
    </row>
    <row r="242" spans="1:5" ht="15">
      <c r="A242" s="13">
        <v>48488</v>
      </c>
      <c r="B242" s="4">
        <f>26.4598 * CHOOSE(CONTROL!$C$9, $C$13, 100%, $E$13) + CHOOSE(CONTROL!$C$28, 0.0272, 0)</f>
        <v>26.487000000000002</v>
      </c>
      <c r="C242" s="4">
        <f>26.0965 * CHOOSE(CONTROL!$C$9, $C$13, 100%, $E$13) + CHOOSE(CONTROL!$C$28, 0.0272, 0)</f>
        <v>26.123699999999999</v>
      </c>
      <c r="D242" s="4">
        <f>36.5208 * CHOOSE(CONTROL!$C$9, $C$13, 100%, $E$13) + CHOOSE(CONTROL!$C$28, 0.0021, 0)</f>
        <v>36.5229</v>
      </c>
      <c r="E242" s="4">
        <f>167.669717616586 * CHOOSE(CONTROL!$C$9, $C$13, 100%, $E$13) + CHOOSE(CONTROL!$C$28, 0.0021, 0)</f>
        <v>167.67181761658603</v>
      </c>
    </row>
    <row r="243" spans="1:5" ht="15">
      <c r="A243" s="13">
        <v>48519</v>
      </c>
      <c r="B243" s="4">
        <f>25.8912 * CHOOSE(CONTROL!$C$9, $C$13, 100%, $E$13) + CHOOSE(CONTROL!$C$28, 0.0272, 0)</f>
        <v>25.918400000000002</v>
      </c>
      <c r="C243" s="4">
        <f>25.5279 * CHOOSE(CONTROL!$C$9, $C$13, 100%, $E$13) + CHOOSE(CONTROL!$C$28, 0.0272, 0)</f>
        <v>25.555099999999999</v>
      </c>
      <c r="D243" s="4">
        <f>36.3543 * CHOOSE(CONTROL!$C$9, $C$13, 100%, $E$13) + CHOOSE(CONTROL!$C$28, 0.0021, 0)</f>
        <v>36.356400000000001</v>
      </c>
      <c r="E243" s="4">
        <f>163.958327276015 * CHOOSE(CONTROL!$C$9, $C$13, 100%, $E$13) + CHOOSE(CONTROL!$C$28, 0.0021, 0)</f>
        <v>163.96042727601503</v>
      </c>
    </row>
    <row r="244" spans="1:5" ht="15">
      <c r="A244" s="13">
        <v>48549</v>
      </c>
      <c r="B244" s="4">
        <f>25.4978 * CHOOSE(CONTROL!$C$9, $C$13, 100%, $E$13) + CHOOSE(CONTROL!$C$28, 0.0272, 0)</f>
        <v>25.525000000000002</v>
      </c>
      <c r="C244" s="4">
        <f>25.1345 * CHOOSE(CONTROL!$C$9, $C$13, 100%, $E$13) + CHOOSE(CONTROL!$C$28, 0.0272, 0)</f>
        <v>25.1617</v>
      </c>
      <c r="D244" s="4">
        <f>35.1283 * CHOOSE(CONTROL!$C$9, $C$13, 100%, $E$13) + CHOOSE(CONTROL!$C$28, 0.0021, 0)</f>
        <v>35.130400000000002</v>
      </c>
      <c r="E244" s="4">
        <f>161.390522238872 * CHOOSE(CONTROL!$C$9, $C$13, 100%, $E$13) + CHOOSE(CONTROL!$C$28, 0.0021, 0)</f>
        <v>161.39262223887201</v>
      </c>
    </row>
    <row r="245" spans="1:5" ht="15">
      <c r="A245" s="13">
        <v>48580</v>
      </c>
      <c r="B245" s="4">
        <f>24.7475 * CHOOSE(CONTROL!$C$9, $C$13, 100%, $E$13) + CHOOSE(CONTROL!$C$28, 0.0272, 0)</f>
        <v>24.774699999999999</v>
      </c>
      <c r="C245" s="4">
        <f>24.3842 * CHOOSE(CONTROL!$C$9, $C$13, 100%, $E$13) + CHOOSE(CONTROL!$C$28, 0.0272, 0)</f>
        <v>24.4114</v>
      </c>
      <c r="D245" s="4">
        <f>33.9755 * CHOOSE(CONTROL!$C$9, $C$13, 100%, $E$13) + CHOOSE(CONTROL!$C$28, 0.0021, 0)</f>
        <v>33.977599999999995</v>
      </c>
      <c r="E245" s="4">
        <f>156.362884743759 * CHOOSE(CONTROL!$C$9, $C$13, 100%, $E$13) + CHOOSE(CONTROL!$C$28, 0.0021, 0)</f>
        <v>156.36498474375901</v>
      </c>
    </row>
    <row r="246" spans="1:5" ht="15">
      <c r="A246" s="13">
        <v>48611</v>
      </c>
      <c r="B246" s="4">
        <f>25.3167 * CHOOSE(CONTROL!$C$9, $C$13, 100%, $E$13) + CHOOSE(CONTROL!$C$28, 0.0272, 0)</f>
        <v>25.343900000000001</v>
      </c>
      <c r="C246" s="4">
        <f>24.9534 * CHOOSE(CONTROL!$C$9, $C$13, 100%, $E$13) + CHOOSE(CONTROL!$C$28, 0.0272, 0)</f>
        <v>24.980599999999999</v>
      </c>
      <c r="D246" s="4">
        <f>35.1092 * CHOOSE(CONTROL!$C$9, $C$13, 100%, $E$13) + CHOOSE(CONTROL!$C$28, 0.0021, 0)</f>
        <v>35.1113</v>
      </c>
      <c r="E246" s="4">
        <f>160.075555839544 * CHOOSE(CONTROL!$C$9, $C$13, 100%, $E$13) + CHOOSE(CONTROL!$C$28, 0.0021, 0)</f>
        <v>160.07765583954401</v>
      </c>
    </row>
    <row r="247" spans="1:5" ht="15">
      <c r="A247" s="13">
        <v>48639</v>
      </c>
      <c r="B247" s="4">
        <f>26.8116 * CHOOSE(CONTROL!$C$9, $C$13, 100%, $E$13) + CHOOSE(CONTROL!$C$28, 0.0272, 0)</f>
        <v>26.838799999999999</v>
      </c>
      <c r="C247" s="4">
        <f>26.4483 * CHOOSE(CONTROL!$C$9, $C$13, 100%, $E$13) + CHOOSE(CONTROL!$C$28, 0.0272, 0)</f>
        <v>26.4755</v>
      </c>
      <c r="D247" s="4">
        <f>36.8841 * CHOOSE(CONTROL!$C$9, $C$13, 100%, $E$13) + CHOOSE(CONTROL!$C$28, 0.0021, 0)</f>
        <v>36.886199999999995</v>
      </c>
      <c r="E247" s="4">
        <f>169.825227440402 * CHOOSE(CONTROL!$C$9, $C$13, 100%, $E$13) + CHOOSE(CONTROL!$C$28, 0.0021, 0)</f>
        <v>169.827327440402</v>
      </c>
    </row>
    <row r="248" spans="1:5" ht="15">
      <c r="A248" s="13">
        <v>48670</v>
      </c>
      <c r="B248" s="4">
        <f>27.8737 * CHOOSE(CONTROL!$C$9, $C$13, 100%, $E$13) + CHOOSE(CONTROL!$C$28, 0.0272, 0)</f>
        <v>27.9009</v>
      </c>
      <c r="C248" s="4">
        <f>27.5104 * CHOOSE(CONTROL!$C$9, $C$13, 100%, $E$13) + CHOOSE(CONTROL!$C$28, 0.0272, 0)</f>
        <v>27.537600000000001</v>
      </c>
      <c r="D248" s="4">
        <f>37.9064 * CHOOSE(CONTROL!$C$9, $C$13, 100%, $E$13) + CHOOSE(CONTROL!$C$28, 0.0021, 0)</f>
        <v>37.908499999999997</v>
      </c>
      <c r="E248" s="4">
        <f>176.752499044268 * CHOOSE(CONTROL!$C$9, $C$13, 100%, $E$13) + CHOOSE(CONTROL!$C$28, 0.0021, 0)</f>
        <v>176.75459904426802</v>
      </c>
    </row>
    <row r="249" spans="1:5" ht="15">
      <c r="A249" s="13">
        <v>48700</v>
      </c>
      <c r="B249" s="4">
        <f>28.5226 * CHOOSE(CONTROL!$C$9, $C$13, 100%, $E$13) + CHOOSE(CONTROL!$C$28, 0.0272, 0)</f>
        <v>28.549800000000001</v>
      </c>
      <c r="C249" s="4">
        <f>28.1593 * CHOOSE(CONTROL!$C$9, $C$13, 100%, $E$13) + CHOOSE(CONTROL!$C$28, 0.0272, 0)</f>
        <v>28.186500000000002</v>
      </c>
      <c r="D249" s="4">
        <f>37.5025 * CHOOSE(CONTROL!$C$9, $C$13, 100%, $E$13) + CHOOSE(CONTROL!$C$28, 0.0021, 0)</f>
        <v>37.504599999999996</v>
      </c>
      <c r="E249" s="4">
        <f>180.984895970702 * CHOOSE(CONTROL!$C$9, $C$13, 100%, $E$13) + CHOOSE(CONTROL!$C$28, 0.0021, 0)</f>
        <v>180.98699597070203</v>
      </c>
    </row>
    <row r="250" spans="1:5" ht="15">
      <c r="A250" s="13">
        <v>48731</v>
      </c>
      <c r="B250" s="4">
        <f>28.6104 * CHOOSE(CONTROL!$C$9, $C$13, 100%, $E$13) + CHOOSE(CONTROL!$C$28, 0.0272, 0)</f>
        <v>28.637599999999999</v>
      </c>
      <c r="C250" s="4">
        <f>28.2471 * CHOOSE(CONTROL!$C$9, $C$13, 100%, $E$13) + CHOOSE(CONTROL!$C$28, 0.0272, 0)</f>
        <v>28.2743</v>
      </c>
      <c r="D250" s="4">
        <f>37.8315 * CHOOSE(CONTROL!$C$9, $C$13, 100%, $E$13) + CHOOSE(CONTROL!$C$28, 0.0021, 0)</f>
        <v>37.833599999999997</v>
      </c>
      <c r="E250" s="4">
        <f>181.557556839656 * CHOOSE(CONTROL!$C$9, $C$13, 100%, $E$13) + CHOOSE(CONTROL!$C$28, 0.0021, 0)</f>
        <v>181.55965683965601</v>
      </c>
    </row>
    <row r="251" spans="1:5" ht="15">
      <c r="A251" s="13">
        <v>48761</v>
      </c>
      <c r="B251" s="4">
        <f>28.6016 * CHOOSE(CONTROL!$C$9, $C$13, 100%, $E$13) + CHOOSE(CONTROL!$C$28, 0.0272, 0)</f>
        <v>28.628800000000002</v>
      </c>
      <c r="C251" s="4">
        <f>28.2383 * CHOOSE(CONTROL!$C$9, $C$13, 100%, $E$13) + CHOOSE(CONTROL!$C$28, 0.0272, 0)</f>
        <v>28.265499999999999</v>
      </c>
      <c r="D251" s="4">
        <f>38.4251 * CHOOSE(CONTROL!$C$9, $C$13, 100%, $E$13) + CHOOSE(CONTROL!$C$28, 0.0021, 0)</f>
        <v>38.427199999999999</v>
      </c>
      <c r="E251" s="4">
        <f>181.49980952514 * CHOOSE(CONTROL!$C$9, $C$13, 100%, $E$13) + CHOOSE(CONTROL!$C$28, 0.0021, 0)</f>
        <v>181.50190952514001</v>
      </c>
    </row>
    <row r="252" spans="1:5" ht="15">
      <c r="A252" s="13">
        <v>48792</v>
      </c>
      <c r="B252" s="4">
        <f>29.2678 * CHOOSE(CONTROL!$C$9, $C$13, 100%, $E$13) + CHOOSE(CONTROL!$C$28, 0.0272, 0)</f>
        <v>29.295000000000002</v>
      </c>
      <c r="C252" s="4">
        <f>28.9045 * CHOOSE(CONTROL!$C$9, $C$13, 100%, $E$13) + CHOOSE(CONTROL!$C$28, 0.0272, 0)</f>
        <v>28.931699999999999</v>
      </c>
      <c r="D252" s="4">
        <f>38.0331 * CHOOSE(CONTROL!$C$9, $C$13, 100%, $E$13) + CHOOSE(CONTROL!$C$28, 0.0021, 0)</f>
        <v>38.035199999999996</v>
      </c>
      <c r="E252" s="4">
        <f>185.845294942501 * CHOOSE(CONTROL!$C$9, $C$13, 100%, $E$13) + CHOOSE(CONTROL!$C$28, 0.0021, 0)</f>
        <v>185.84739494250101</v>
      </c>
    </row>
    <row r="253" spans="1:5" ht="15">
      <c r="A253" s="13">
        <v>48823</v>
      </c>
      <c r="B253" s="4">
        <f>28.1323 * CHOOSE(CONTROL!$C$9, $C$13, 100%, $E$13) + CHOOSE(CONTROL!$C$28, 0.0272, 0)</f>
        <v>28.159500000000001</v>
      </c>
      <c r="C253" s="4">
        <f>27.769 * CHOOSE(CONTROL!$C$9, $C$13, 100%, $E$13) + CHOOSE(CONTROL!$C$28, 0.0272, 0)</f>
        <v>27.796199999999999</v>
      </c>
      <c r="D253" s="4">
        <f>37.8478 * CHOOSE(CONTROL!$C$9, $C$13, 100%, $E$13) + CHOOSE(CONTROL!$C$28, 0.0021, 0)</f>
        <v>37.849899999999998</v>
      </c>
      <c r="E253" s="4">
        <f>178.439201855769 * CHOOSE(CONTROL!$C$9, $C$13, 100%, $E$13) + CHOOSE(CONTROL!$C$28, 0.0021, 0)</f>
        <v>178.44130185576901</v>
      </c>
    </row>
    <row r="254" spans="1:5" ht="15">
      <c r="A254" s="13">
        <v>48853</v>
      </c>
      <c r="B254" s="4">
        <f>27.2233 * CHOOSE(CONTROL!$C$9, $C$13, 100%, $E$13) + CHOOSE(CONTROL!$C$28, 0.0272, 0)</f>
        <v>27.250499999999999</v>
      </c>
      <c r="C254" s="4">
        <f>26.86 * CHOOSE(CONTROL!$C$9, $C$13, 100%, $E$13) + CHOOSE(CONTROL!$C$28, 0.0272, 0)</f>
        <v>26.8872</v>
      </c>
      <c r="D254" s="4">
        <f>37.3519 * CHOOSE(CONTROL!$C$9, $C$13, 100%, $E$13) + CHOOSE(CONTROL!$C$28, 0.0021, 0)</f>
        <v>37.353999999999999</v>
      </c>
      <c r="E254" s="4">
        <f>172.510477565415 * CHOOSE(CONTROL!$C$9, $C$13, 100%, $E$13) + CHOOSE(CONTROL!$C$28, 0.0021, 0)</f>
        <v>172.512577565415</v>
      </c>
    </row>
    <row r="255" spans="1:5" ht="15">
      <c r="A255" s="13">
        <v>48884</v>
      </c>
      <c r="B255" s="4">
        <f>26.6378 * CHOOSE(CONTROL!$C$9, $C$13, 100%, $E$13) + CHOOSE(CONTROL!$C$28, 0.0272, 0)</f>
        <v>26.664999999999999</v>
      </c>
      <c r="C255" s="4">
        <f>26.2745 * CHOOSE(CONTROL!$C$9, $C$13, 100%, $E$13) + CHOOSE(CONTROL!$C$28, 0.0272, 0)</f>
        <v>26.3017</v>
      </c>
      <c r="D255" s="4">
        <f>37.1813 * CHOOSE(CONTROL!$C$9, $C$13, 100%, $E$13) + CHOOSE(CONTROL!$C$28, 0.0021, 0)</f>
        <v>37.183399999999999</v>
      </c>
      <c r="E255" s="4">
        <f>168.691936393017 * CHOOSE(CONTROL!$C$9, $C$13, 100%, $E$13) + CHOOSE(CONTROL!$C$28, 0.0021, 0)</f>
        <v>168.694036393017</v>
      </c>
    </row>
    <row r="256" spans="1:5" ht="15">
      <c r="A256" s="13">
        <v>48914</v>
      </c>
      <c r="B256" s="4">
        <f>26.2328 * CHOOSE(CONTROL!$C$9, $C$13, 100%, $E$13) + CHOOSE(CONTROL!$C$28, 0.0272, 0)</f>
        <v>26.26</v>
      </c>
      <c r="C256" s="4">
        <f>25.8695 * CHOOSE(CONTROL!$C$9, $C$13, 100%, $E$13) + CHOOSE(CONTROL!$C$28, 0.0272, 0)</f>
        <v>25.896699999999999</v>
      </c>
      <c r="D256" s="4">
        <f>35.9259 * CHOOSE(CONTROL!$C$9, $C$13, 100%, $E$13) + CHOOSE(CONTROL!$C$28, 0.0021, 0)</f>
        <v>35.927999999999997</v>
      </c>
      <c r="E256" s="4">
        <f>166.04999675389 * CHOOSE(CONTROL!$C$9, $C$13, 100%, $E$13) + CHOOSE(CONTROL!$C$28, 0.0021, 0)</f>
        <v>166.05209675389003</v>
      </c>
    </row>
    <row r="257" spans="1:5" ht="15">
      <c r="A257" s="13">
        <v>48945</v>
      </c>
      <c r="B257" s="4">
        <f>25.4396 * CHOOSE(CONTROL!$C$9, $C$13, 100%, $E$13) + CHOOSE(CONTROL!$C$28, 0.0272, 0)</f>
        <v>25.466799999999999</v>
      </c>
      <c r="C257" s="4">
        <f>25.0763 * CHOOSE(CONTROL!$C$9, $C$13, 100%, $E$13) + CHOOSE(CONTROL!$C$28, 0.0272, 0)</f>
        <v>25.1035</v>
      </c>
      <c r="D257" s="4">
        <f>34.7275 * CHOOSE(CONTROL!$C$9, $C$13, 100%, $E$13) + CHOOSE(CONTROL!$C$28, 0.0021, 0)</f>
        <v>34.729599999999998</v>
      </c>
      <c r="E257" s="4">
        <f>160.750105385958 * CHOOSE(CONTROL!$C$9, $C$13, 100%, $E$13) + CHOOSE(CONTROL!$C$28, 0.0021, 0)</f>
        <v>160.75220538595801</v>
      </c>
    </row>
    <row r="258" spans="1:5" ht="15">
      <c r="A258" s="13">
        <v>48976</v>
      </c>
      <c r="B258" s="4">
        <f>26.0252 * CHOOSE(CONTROL!$C$9, $C$13, 100%, $E$13) + CHOOSE(CONTROL!$C$28, 0.0272, 0)</f>
        <v>26.052400000000002</v>
      </c>
      <c r="C258" s="4">
        <f>25.662 * CHOOSE(CONTROL!$C$9, $C$13, 100%, $E$13) + CHOOSE(CONTROL!$C$28, 0.0272, 0)</f>
        <v>25.6892</v>
      </c>
      <c r="D258" s="4">
        <f>35.8878 * CHOOSE(CONTROL!$C$9, $C$13, 100%, $E$13) + CHOOSE(CONTROL!$C$28, 0.0021, 0)</f>
        <v>35.889899999999997</v>
      </c>
      <c r="E258" s="4">
        <f>164.566946389428 * CHOOSE(CONTROL!$C$9, $C$13, 100%, $E$13) + CHOOSE(CONTROL!$C$28, 0.0021, 0)</f>
        <v>164.56904638942802</v>
      </c>
    </row>
    <row r="259" spans="1:5" ht="15">
      <c r="A259" s="13">
        <v>49004</v>
      </c>
      <c r="B259" s="4">
        <f>27.5632 * CHOOSE(CONTROL!$C$9, $C$13, 100%, $E$13) + CHOOSE(CONTROL!$C$28, 0.0272, 0)</f>
        <v>27.590399999999999</v>
      </c>
      <c r="C259" s="4">
        <f>27.2 * CHOOSE(CONTROL!$C$9, $C$13, 100%, $E$13) + CHOOSE(CONTROL!$C$28, 0.0272, 0)</f>
        <v>27.2272</v>
      </c>
      <c r="D259" s="4">
        <f>37.7042 * CHOOSE(CONTROL!$C$9, $C$13, 100%, $E$13) + CHOOSE(CONTROL!$C$28, 0.0021, 0)</f>
        <v>37.706299999999999</v>
      </c>
      <c r="E259" s="4">
        <f>174.590173703792 * CHOOSE(CONTROL!$C$9, $C$13, 100%, $E$13) + CHOOSE(CONTROL!$C$28, 0.0021, 0)</f>
        <v>174.59227370379202</v>
      </c>
    </row>
    <row r="260" spans="1:5" ht="15">
      <c r="A260" s="13">
        <v>49035</v>
      </c>
      <c r="B260" s="4">
        <f>28.656 * CHOOSE(CONTROL!$C$9, $C$13, 100%, $E$13) + CHOOSE(CONTROL!$C$28, 0.0272, 0)</f>
        <v>28.683199999999999</v>
      </c>
      <c r="C260" s="4">
        <f>28.2927 * CHOOSE(CONTROL!$C$9, $C$13, 100%, $E$13) + CHOOSE(CONTROL!$C$28, 0.0272, 0)</f>
        <v>28.319900000000001</v>
      </c>
      <c r="D260" s="4">
        <f>38.7505 * CHOOSE(CONTROL!$C$9, $C$13, 100%, $E$13) + CHOOSE(CONTROL!$C$28, 0.0021, 0)</f>
        <v>38.752600000000001</v>
      </c>
      <c r="E260" s="4">
        <f>181.711810287714 * CHOOSE(CONTROL!$C$9, $C$13, 100%, $E$13) + CHOOSE(CONTROL!$C$28, 0.0021, 0)</f>
        <v>181.71391028771401</v>
      </c>
    </row>
    <row r="261" spans="1:5" ht="15">
      <c r="A261" s="13">
        <v>49065</v>
      </c>
      <c r="B261" s="4">
        <f>29.3237 * CHOOSE(CONTROL!$C$9, $C$13, 100%, $E$13) + CHOOSE(CONTROL!$C$28, 0.0272, 0)</f>
        <v>29.350899999999999</v>
      </c>
      <c r="C261" s="4">
        <f>28.9604 * CHOOSE(CONTROL!$C$9, $C$13, 100%, $E$13) + CHOOSE(CONTROL!$C$28, 0.0272, 0)</f>
        <v>28.9876</v>
      </c>
      <c r="D261" s="4">
        <f>38.337 * CHOOSE(CONTROL!$C$9, $C$13, 100%, $E$13) + CHOOSE(CONTROL!$C$28, 0.0021, 0)</f>
        <v>38.339100000000002</v>
      </c>
      <c r="E261" s="4">
        <f>186.062959558682 * CHOOSE(CONTROL!$C$9, $C$13, 100%, $E$13) + CHOOSE(CONTROL!$C$28, 0.0021, 0)</f>
        <v>186.06505955868201</v>
      </c>
    </row>
    <row r="262" spans="1:5" ht="15">
      <c r="A262" s="13">
        <v>49096</v>
      </c>
      <c r="B262" s="4">
        <f>29.414 * CHOOSE(CONTROL!$C$9, $C$13, 100%, $E$13) + CHOOSE(CONTROL!$C$28, 0.0272, 0)</f>
        <v>29.441200000000002</v>
      </c>
      <c r="C262" s="4">
        <f>29.0507 * CHOOSE(CONTROL!$C$9, $C$13, 100%, $E$13) + CHOOSE(CONTROL!$C$28, 0.0272, 0)</f>
        <v>29.0779</v>
      </c>
      <c r="D262" s="4">
        <f>38.6737 * CHOOSE(CONTROL!$C$9, $C$13, 100%, $E$13) + CHOOSE(CONTROL!$C$28, 0.0021, 0)</f>
        <v>38.675799999999995</v>
      </c>
      <c r="E262" s="4">
        <f>186.651688112685 * CHOOSE(CONTROL!$C$9, $C$13, 100%, $E$13) + CHOOSE(CONTROL!$C$28, 0.0021, 0)</f>
        <v>186.65378811268502</v>
      </c>
    </row>
    <row r="263" spans="1:5" ht="15">
      <c r="A263" s="13">
        <v>49126</v>
      </c>
      <c r="B263" s="4">
        <f>29.4049 * CHOOSE(CONTROL!$C$9, $C$13, 100%, $E$13) + CHOOSE(CONTROL!$C$28, 0.0272, 0)</f>
        <v>29.432100000000002</v>
      </c>
      <c r="C263" s="4">
        <f>29.0416 * CHOOSE(CONTROL!$C$9, $C$13, 100%, $E$13) + CHOOSE(CONTROL!$C$28, 0.0272, 0)</f>
        <v>29.0688</v>
      </c>
      <c r="D263" s="4">
        <f>39.2813 * CHOOSE(CONTROL!$C$9, $C$13, 100%, $E$13) + CHOOSE(CONTROL!$C$28, 0.0021, 0)</f>
        <v>39.2834</v>
      </c>
      <c r="E263" s="4">
        <f>186.592320527407 * CHOOSE(CONTROL!$C$9, $C$13, 100%, $E$13) + CHOOSE(CONTROL!$C$28, 0.0021, 0)</f>
        <v>186.59442052740701</v>
      </c>
    </row>
    <row r="264" spans="1:5" ht="15">
      <c r="A264" s="13">
        <v>49157</v>
      </c>
      <c r="B264" s="4">
        <f>30.0904 * CHOOSE(CONTROL!$C$9, $C$13, 100%, $E$13) + CHOOSE(CONTROL!$C$28, 0.0272, 0)</f>
        <v>30.117599999999999</v>
      </c>
      <c r="C264" s="4">
        <f>29.7271 * CHOOSE(CONTROL!$C$9, $C$13, 100%, $E$13) + CHOOSE(CONTROL!$C$28, 0.0272, 0)</f>
        <v>29.754300000000001</v>
      </c>
      <c r="D264" s="4">
        <f>38.8801 * CHOOSE(CONTROL!$C$9, $C$13, 100%, $E$13) + CHOOSE(CONTROL!$C$28, 0.0021, 0)</f>
        <v>38.882199999999997</v>
      </c>
      <c r="E264" s="4">
        <f>191.059731319544 * CHOOSE(CONTROL!$C$9, $C$13, 100%, $E$13) + CHOOSE(CONTROL!$C$28, 0.0021, 0)</f>
        <v>191.06183131954401</v>
      </c>
    </row>
    <row r="265" spans="1:5" ht="15">
      <c r="A265" s="13">
        <v>49188</v>
      </c>
      <c r="B265" s="4">
        <f>28.9221 * CHOOSE(CONTROL!$C$9, $C$13, 100%, $E$13) + CHOOSE(CONTROL!$C$28, 0.0272, 0)</f>
        <v>28.949300000000001</v>
      </c>
      <c r="C265" s="4">
        <f>28.5588 * CHOOSE(CONTROL!$C$9, $C$13, 100%, $E$13) + CHOOSE(CONTROL!$C$28, 0.0272, 0)</f>
        <v>28.586000000000002</v>
      </c>
      <c r="D265" s="4">
        <f>38.6905 * CHOOSE(CONTROL!$C$9, $C$13, 100%, $E$13) + CHOOSE(CONTROL!$C$28, 0.0021, 0)</f>
        <v>38.692599999999999</v>
      </c>
      <c r="E265" s="4">
        <f>183.445838507696 * CHOOSE(CONTROL!$C$9, $C$13, 100%, $E$13) + CHOOSE(CONTROL!$C$28, 0.0021, 0)</f>
        <v>183.44793850769602</v>
      </c>
    </row>
    <row r="266" spans="1:5" ht="15">
      <c r="A266" s="13">
        <v>49218</v>
      </c>
      <c r="B266" s="4">
        <f>27.9868 * CHOOSE(CONTROL!$C$9, $C$13, 100%, $E$13) + CHOOSE(CONTROL!$C$28, 0.0272, 0)</f>
        <v>28.013999999999999</v>
      </c>
      <c r="C266" s="4">
        <f>27.6236 * CHOOSE(CONTROL!$C$9, $C$13, 100%, $E$13) + CHOOSE(CONTROL!$C$28, 0.0272, 0)</f>
        <v>27.6508</v>
      </c>
      <c r="D266" s="4">
        <f>38.1829 * CHOOSE(CONTROL!$C$9, $C$13, 100%, $E$13) + CHOOSE(CONTROL!$C$28, 0.0021, 0)</f>
        <v>38.184999999999995</v>
      </c>
      <c r="E266" s="4">
        <f>177.350766419199 * CHOOSE(CONTROL!$C$9, $C$13, 100%, $E$13) + CHOOSE(CONTROL!$C$28, 0.0021, 0)</f>
        <v>177.35286641919902</v>
      </c>
    </row>
    <row r="267" spans="1:5" ht="15">
      <c r="A267" s="13">
        <v>49249</v>
      </c>
      <c r="B267" s="4">
        <f>27.3845 * CHOOSE(CONTROL!$C$9, $C$13, 100%, $E$13) + CHOOSE(CONTROL!$C$28, 0.0272, 0)</f>
        <v>27.4117</v>
      </c>
      <c r="C267" s="4">
        <f>27.0212 * CHOOSE(CONTROL!$C$9, $C$13, 100%, $E$13) + CHOOSE(CONTROL!$C$28, 0.0272, 0)</f>
        <v>27.048400000000001</v>
      </c>
      <c r="D267" s="4">
        <f>38.0084 * CHOOSE(CONTROL!$C$9, $C$13, 100%, $E$13) + CHOOSE(CONTROL!$C$28, 0.0021, 0)</f>
        <v>38.0105</v>
      </c>
      <c r="E267" s="4">
        <f>173.425084842719 * CHOOSE(CONTROL!$C$9, $C$13, 100%, $E$13) + CHOOSE(CONTROL!$C$28, 0.0021, 0)</f>
        <v>173.42718484271902</v>
      </c>
    </row>
    <row r="268" spans="1:5" ht="15">
      <c r="A268" s="13">
        <v>49279</v>
      </c>
      <c r="B268" s="4">
        <f>26.9677 * CHOOSE(CONTROL!$C$9, $C$13, 100%, $E$13) + CHOOSE(CONTROL!$C$28, 0.0272, 0)</f>
        <v>26.994900000000001</v>
      </c>
      <c r="C268" s="4">
        <f>26.6044 * CHOOSE(CONTROL!$C$9, $C$13, 100%, $E$13) + CHOOSE(CONTROL!$C$28, 0.0272, 0)</f>
        <v>26.631599999999999</v>
      </c>
      <c r="D268" s="4">
        <f>36.7236 * CHOOSE(CONTROL!$C$9, $C$13, 100%, $E$13) + CHOOSE(CONTROL!$C$28, 0.0021, 0)</f>
        <v>36.725699999999996</v>
      </c>
      <c r="E268" s="4">
        <f>170.70901781627 * CHOOSE(CONTROL!$C$9, $C$13, 100%, $E$13) + CHOOSE(CONTROL!$C$28, 0.0021, 0)</f>
        <v>170.71111781627002</v>
      </c>
    </row>
    <row r="269" spans="1:5" ht="15">
      <c r="A269" s="13">
        <v>49310</v>
      </c>
      <c r="B269" s="4">
        <f>26.1316 * CHOOSE(CONTROL!$C$9, $C$13, 100%, $E$13) + CHOOSE(CONTROL!$C$28, 0.0272, 0)</f>
        <v>26.158799999999999</v>
      </c>
      <c r="C269" s="4">
        <f>25.7683 * CHOOSE(CONTROL!$C$9, $C$13, 100%, $E$13) + CHOOSE(CONTROL!$C$28, 0.0272, 0)</f>
        <v>25.795500000000001</v>
      </c>
      <c r="D269" s="4">
        <f>35.5046 * CHOOSE(CONTROL!$C$9, $C$13, 100%, $E$13) + CHOOSE(CONTROL!$C$28, 0.0021, 0)</f>
        <v>35.506700000000002</v>
      </c>
      <c r="E269" s="4">
        <f>165.136912803435 * CHOOSE(CONTROL!$C$9, $C$13, 100%, $E$13) + CHOOSE(CONTROL!$C$28, 0.0021, 0)</f>
        <v>165.13901280343501</v>
      </c>
    </row>
    <row r="270" spans="1:5" ht="15">
      <c r="A270" s="13">
        <v>49341</v>
      </c>
      <c r="B270" s="4">
        <f>26.7337 * CHOOSE(CONTROL!$C$9, $C$13, 100%, $E$13) + CHOOSE(CONTROL!$C$28, 0.0272, 0)</f>
        <v>26.760899999999999</v>
      </c>
      <c r="C270" s="4">
        <f>26.3705 * CHOOSE(CONTROL!$C$9, $C$13, 100%, $E$13) + CHOOSE(CONTROL!$C$28, 0.0272, 0)</f>
        <v>26.3977</v>
      </c>
      <c r="D270" s="4">
        <f>36.6923 * CHOOSE(CONTROL!$C$9, $C$13, 100%, $E$13) + CHOOSE(CONTROL!$C$28, 0.0021, 0)</f>
        <v>36.694400000000002</v>
      </c>
      <c r="E270" s="4">
        <f>169.057913903007 * CHOOSE(CONTROL!$C$9, $C$13, 100%, $E$13) + CHOOSE(CONTROL!$C$28, 0.0021, 0)</f>
        <v>169.06001390300702</v>
      </c>
    </row>
    <row r="271" spans="1:5" ht="15">
      <c r="A271" s="13">
        <v>49369</v>
      </c>
      <c r="B271" s="4">
        <f>28.3149 * CHOOSE(CONTROL!$C$9, $C$13, 100%, $E$13) + CHOOSE(CONTROL!$C$28, 0.0272, 0)</f>
        <v>28.342100000000002</v>
      </c>
      <c r="C271" s="4">
        <f>27.9516 * CHOOSE(CONTROL!$C$9, $C$13, 100%, $E$13) + CHOOSE(CONTROL!$C$28, 0.0272, 0)</f>
        <v>27.9788</v>
      </c>
      <c r="D271" s="4">
        <f>38.5516 * CHOOSE(CONTROL!$C$9, $C$13, 100%, $E$13) + CHOOSE(CONTROL!$C$28, 0.0021, 0)</f>
        <v>38.553699999999999</v>
      </c>
      <c r="E271" s="4">
        <f>179.354671165137 * CHOOSE(CONTROL!$C$9, $C$13, 100%, $E$13) + CHOOSE(CONTROL!$C$28, 0.0021, 0)</f>
        <v>179.35677116513702</v>
      </c>
    </row>
    <row r="272" spans="1:5" ht="15">
      <c r="A272" s="13">
        <v>49400</v>
      </c>
      <c r="B272" s="4">
        <f>29.4383 * CHOOSE(CONTROL!$C$9, $C$13, 100%, $E$13) + CHOOSE(CONTROL!$C$28, 0.0272, 0)</f>
        <v>29.465500000000002</v>
      </c>
      <c r="C272" s="4">
        <f>29.075 * CHOOSE(CONTROL!$C$9, $C$13, 100%, $E$13) + CHOOSE(CONTROL!$C$28, 0.0272, 0)</f>
        <v>29.1022</v>
      </c>
      <c r="D272" s="4">
        <f>39.6226 * CHOOSE(CONTROL!$C$9, $C$13, 100%, $E$13) + CHOOSE(CONTROL!$C$28, 0.0021, 0)</f>
        <v>39.624699999999997</v>
      </c>
      <c r="E272" s="4">
        <f>186.670654422213 * CHOOSE(CONTROL!$C$9, $C$13, 100%, $E$13) + CHOOSE(CONTROL!$C$28, 0.0021, 0)</f>
        <v>186.67275442221302</v>
      </c>
    </row>
    <row r="273" spans="1:5" ht="15">
      <c r="A273" s="13">
        <v>49430</v>
      </c>
      <c r="B273" s="4">
        <f>30.1247 * CHOOSE(CONTROL!$C$9, $C$13, 100%, $E$13) + CHOOSE(CONTROL!$C$28, 0.0272, 0)</f>
        <v>30.151900000000001</v>
      </c>
      <c r="C273" s="4">
        <f>29.7614 * CHOOSE(CONTROL!$C$9, $C$13, 100%, $E$13) + CHOOSE(CONTROL!$C$28, 0.0272, 0)</f>
        <v>29.788599999999999</v>
      </c>
      <c r="D273" s="4">
        <f>39.1994 * CHOOSE(CONTROL!$C$9, $C$13, 100%, $E$13) + CHOOSE(CONTROL!$C$28, 0.0021, 0)</f>
        <v>39.201499999999996</v>
      </c>
      <c r="E273" s="4">
        <f>191.14054485264 * CHOOSE(CONTROL!$C$9, $C$13, 100%, $E$13) + CHOOSE(CONTROL!$C$28, 0.0021, 0)</f>
        <v>191.14264485264002</v>
      </c>
    </row>
    <row r="274" spans="1:5" ht="15">
      <c r="A274" s="14">
        <v>49461</v>
      </c>
      <c r="B274" s="4">
        <f>30.2176 * CHOOSE(CONTROL!$C$9, $C$13, 100%, $E$13) + CHOOSE(CONTROL!$C$28, 0.0272, 0)</f>
        <v>30.244800000000001</v>
      </c>
      <c r="C274" s="4">
        <f>29.8543 * CHOOSE(CONTROL!$C$9, $C$13, 100%, $E$13) + CHOOSE(CONTROL!$C$28, 0.0272, 0)</f>
        <v>29.881499999999999</v>
      </c>
      <c r="D274" s="4">
        <f>39.5441 * CHOOSE(CONTROL!$C$9, $C$13, 100%, $E$13) + CHOOSE(CONTROL!$C$28, 0.0021, 0)</f>
        <v>39.546199999999999</v>
      </c>
      <c r="E274" s="4">
        <f>191.745339578303 * CHOOSE(CONTROL!$C$9, $C$13, 100%, $E$13) + CHOOSE(CONTROL!$C$28, 0.0021, 0)</f>
        <v>191.74743957830302</v>
      </c>
    </row>
    <row r="275" spans="1:5" ht="15">
      <c r="A275" s="14">
        <v>49491</v>
      </c>
      <c r="B275" s="4">
        <f>30.2082 * CHOOSE(CONTROL!$C$9, $C$13, 100%, $E$13) + CHOOSE(CONTROL!$C$28, 0.0272, 0)</f>
        <v>30.235400000000002</v>
      </c>
      <c r="C275" s="4">
        <f>29.8449 * CHOOSE(CONTROL!$C$9, $C$13, 100%, $E$13) + CHOOSE(CONTROL!$C$28, 0.0272, 0)</f>
        <v>29.8721</v>
      </c>
      <c r="D275" s="4">
        <f>40.166 * CHOOSE(CONTROL!$C$9, $C$13, 100%, $E$13) + CHOOSE(CONTROL!$C$28, 0.0021, 0)</f>
        <v>40.168099999999995</v>
      </c>
      <c r="E275" s="4">
        <f>191.684351874874 * CHOOSE(CONTROL!$C$9, $C$13, 100%, $E$13) + CHOOSE(CONTROL!$C$28, 0.0021, 0)</f>
        <v>191.68645187487402</v>
      </c>
    </row>
    <row r="276" spans="1:5" ht="15">
      <c r="A276" s="14">
        <v>49522</v>
      </c>
      <c r="B276" s="4">
        <f>30.9129 * CHOOSE(CONTROL!$C$9, $C$13, 100%, $E$13) + CHOOSE(CONTROL!$C$28, 0.0272, 0)</f>
        <v>30.940100000000001</v>
      </c>
      <c r="C276" s="4">
        <f>30.5497 * CHOOSE(CONTROL!$C$9, $C$13, 100%, $E$13) + CHOOSE(CONTROL!$C$28, 0.0272, 0)</f>
        <v>30.576900000000002</v>
      </c>
      <c r="D276" s="4">
        <f>39.7553 * CHOOSE(CONTROL!$C$9, $C$13, 100%, $E$13) + CHOOSE(CONTROL!$C$28, 0.0021, 0)</f>
        <v>39.757399999999997</v>
      </c>
      <c r="E276" s="4">
        <f>196.273676557848 * CHOOSE(CONTROL!$C$9, $C$13, 100%, $E$13) + CHOOSE(CONTROL!$C$28, 0.0021, 0)</f>
        <v>196.27577655784802</v>
      </c>
    </row>
    <row r="277" spans="1:5" ht="15">
      <c r="A277" s="14">
        <v>49553</v>
      </c>
      <c r="B277" s="4">
        <f>29.7119 * CHOOSE(CONTROL!$C$9, $C$13, 100%, $E$13) + CHOOSE(CONTROL!$C$28, 0.0272, 0)</f>
        <v>29.739100000000001</v>
      </c>
      <c r="C277" s="4">
        <f>29.3486 * CHOOSE(CONTROL!$C$9, $C$13, 100%, $E$13) + CHOOSE(CONTROL!$C$28, 0.0272, 0)</f>
        <v>29.375800000000002</v>
      </c>
      <c r="D277" s="4">
        <f>39.5612 * CHOOSE(CONTROL!$C$9, $C$13, 100%, $E$13) + CHOOSE(CONTROL!$C$28, 0.0021, 0)</f>
        <v>39.563299999999998</v>
      </c>
      <c r="E277" s="4">
        <f>188.452003593179 * CHOOSE(CONTROL!$C$9, $C$13, 100%, $E$13) + CHOOSE(CONTROL!$C$28, 0.0021, 0)</f>
        <v>188.45410359317901</v>
      </c>
    </row>
    <row r="278" spans="1:5" ht="15">
      <c r="A278" s="14">
        <v>49583</v>
      </c>
      <c r="B278" s="4">
        <f>28.7504 * CHOOSE(CONTROL!$C$9, $C$13, 100%, $E$13) + CHOOSE(CONTROL!$C$28, 0.0272, 0)</f>
        <v>28.7776</v>
      </c>
      <c r="C278" s="4">
        <f>28.3871 * CHOOSE(CONTROL!$C$9, $C$13, 100%, $E$13) + CHOOSE(CONTROL!$C$28, 0.0272, 0)</f>
        <v>28.414300000000001</v>
      </c>
      <c r="D278" s="4">
        <f>39.0417 * CHOOSE(CONTROL!$C$9, $C$13, 100%, $E$13) + CHOOSE(CONTROL!$C$28, 0.0021, 0)</f>
        <v>39.043799999999997</v>
      </c>
      <c r="E278" s="4">
        <f>182.190599374549 * CHOOSE(CONTROL!$C$9, $C$13, 100%, $E$13) + CHOOSE(CONTROL!$C$28, 0.0021, 0)</f>
        <v>182.19269937454902</v>
      </c>
    </row>
    <row r="279" spans="1:5" ht="15">
      <c r="A279" s="14">
        <v>49614</v>
      </c>
      <c r="B279" s="4">
        <f>28.1311 * CHOOSE(CONTROL!$C$9, $C$13, 100%, $E$13) + CHOOSE(CONTROL!$C$28, 0.0272, 0)</f>
        <v>28.158300000000001</v>
      </c>
      <c r="C279" s="4">
        <f>27.7678 * CHOOSE(CONTROL!$C$9, $C$13, 100%, $E$13) + CHOOSE(CONTROL!$C$28, 0.0272, 0)</f>
        <v>27.795000000000002</v>
      </c>
      <c r="D279" s="4">
        <f>38.863 * CHOOSE(CONTROL!$C$9, $C$13, 100%, $E$13) + CHOOSE(CONTROL!$C$28, 0.0021, 0)</f>
        <v>38.865099999999998</v>
      </c>
      <c r="E279" s="4">
        <f>178.157787485359 * CHOOSE(CONTROL!$C$9, $C$13, 100%, $E$13) + CHOOSE(CONTROL!$C$28, 0.0021, 0)</f>
        <v>178.15988748535901</v>
      </c>
    </row>
    <row r="280" spans="1:5" ht="15">
      <c r="A280" s="14">
        <v>49644</v>
      </c>
      <c r="B280" s="4">
        <f>27.7026 * CHOOSE(CONTROL!$C$9, $C$13, 100%, $E$13) + CHOOSE(CONTROL!$C$28, 0.0272, 0)</f>
        <v>27.729800000000001</v>
      </c>
      <c r="C280" s="4">
        <f>27.3394 * CHOOSE(CONTROL!$C$9, $C$13, 100%, $E$13) + CHOOSE(CONTROL!$C$28, 0.0272, 0)</f>
        <v>27.366600000000002</v>
      </c>
      <c r="D280" s="4">
        <f>37.5479 * CHOOSE(CONTROL!$C$9, $C$13, 100%, $E$13) + CHOOSE(CONTROL!$C$28, 0.0021, 0)</f>
        <v>37.549999999999997</v>
      </c>
      <c r="E280" s="4">
        <f>175.367600053518 * CHOOSE(CONTROL!$C$9, $C$13, 100%, $E$13) + CHOOSE(CONTROL!$C$28, 0.0021, 0)</f>
        <v>175.36970005351802</v>
      </c>
    </row>
    <row r="281" spans="1:5" ht="15">
      <c r="A281" s="14">
        <v>49675</v>
      </c>
      <c r="B281" s="4">
        <f>26.5304 * CHOOSE(CONTROL!$C$9, $C$13, 100%, $E$13) + CHOOSE(CONTROL!$C$28, 0.0272, 0)</f>
        <v>26.557600000000001</v>
      </c>
      <c r="C281" s="4">
        <f>26.1671 * CHOOSE(CONTROL!$C$9, $C$13, 100%, $E$13) + CHOOSE(CONTROL!$C$28, 0.0272, 0)</f>
        <v>26.194300000000002</v>
      </c>
      <c r="D281" s="4">
        <f>36.0992 * CHOOSE(CONTROL!$C$9, $C$13, 100%, $E$13) + CHOOSE(CONTROL!$C$28, 0.0021, 0)</f>
        <v>36.101300000000002</v>
      </c>
      <c r="E281" s="4">
        <f>168.062826920808 * CHOOSE(CONTROL!$C$9, $C$13, 100%, $E$13) + CHOOSE(CONTROL!$C$28, 0.0021, 0)</f>
        <v>168.06492692080801</v>
      </c>
    </row>
    <row r="282" spans="1:5" ht="15">
      <c r="A282" s="14">
        <v>49706</v>
      </c>
      <c r="B282" s="4">
        <f>27.142 * CHOOSE(CONTROL!$C$9, $C$13, 100%, $E$13) + CHOOSE(CONTROL!$C$28, 0.0272, 0)</f>
        <v>27.1692</v>
      </c>
      <c r="C282" s="4">
        <f>26.7787 * CHOOSE(CONTROL!$C$9, $C$13, 100%, $E$13) + CHOOSE(CONTROL!$C$28, 0.0272, 0)</f>
        <v>26.805900000000001</v>
      </c>
      <c r="D282" s="4">
        <f>37.3079 * CHOOSE(CONTROL!$C$9, $C$13, 100%, $E$13) + CHOOSE(CONTROL!$C$28, 0.0021, 0)</f>
        <v>37.309999999999995</v>
      </c>
      <c r="E282" s="4">
        <f>172.053300752289 * CHOOSE(CONTROL!$C$9, $C$13, 100%, $E$13) + CHOOSE(CONTROL!$C$28, 0.0021, 0)</f>
        <v>172.05540075228902</v>
      </c>
    </row>
    <row r="283" spans="1:5" ht="15">
      <c r="A283" s="14">
        <v>49735</v>
      </c>
      <c r="B283" s="4">
        <f>28.748 * CHOOSE(CONTROL!$C$9, $C$13, 100%, $E$13) + CHOOSE(CONTROL!$C$28, 0.0272, 0)</f>
        <v>28.775200000000002</v>
      </c>
      <c r="C283" s="4">
        <f>28.3847 * CHOOSE(CONTROL!$C$9, $C$13, 100%, $E$13) + CHOOSE(CONTROL!$C$28, 0.0272, 0)</f>
        <v>28.411899999999999</v>
      </c>
      <c r="D283" s="4">
        <f>39.2 * CHOOSE(CONTROL!$C$9, $C$13, 100%, $E$13) + CHOOSE(CONTROL!$C$28, 0.0021, 0)</f>
        <v>39.202100000000002</v>
      </c>
      <c r="E283" s="4">
        <f>182.532497100417 * CHOOSE(CONTROL!$C$9, $C$13, 100%, $E$13) + CHOOSE(CONTROL!$C$28, 0.0021, 0)</f>
        <v>182.53459710041702</v>
      </c>
    </row>
    <row r="284" spans="1:5" ht="15">
      <c r="A284" s="14">
        <v>49766</v>
      </c>
      <c r="B284" s="4">
        <f>29.8891 * CHOOSE(CONTROL!$C$9, $C$13, 100%, $E$13) + CHOOSE(CONTROL!$C$28, 0.0272, 0)</f>
        <v>29.9163</v>
      </c>
      <c r="C284" s="4">
        <f>29.5258 * CHOOSE(CONTROL!$C$9, $C$13, 100%, $E$13) + CHOOSE(CONTROL!$C$28, 0.0272, 0)</f>
        <v>29.553000000000001</v>
      </c>
      <c r="D284" s="4">
        <f>40.29 * CHOOSE(CONTROL!$C$9, $C$13, 100%, $E$13) + CHOOSE(CONTROL!$C$28, 0.0021, 0)</f>
        <v>40.292099999999998</v>
      </c>
      <c r="E284" s="4">
        <f>189.978105759416 * CHOOSE(CONTROL!$C$9, $C$13, 100%, $E$13) + CHOOSE(CONTROL!$C$28, 0.0021, 0)</f>
        <v>189.98020575941601</v>
      </c>
    </row>
    <row r="285" spans="1:5" ht="15">
      <c r="A285" s="14">
        <v>49796</v>
      </c>
      <c r="B285" s="4">
        <f>30.5863 * CHOOSE(CONTROL!$C$9, $C$13, 100%, $E$13) + CHOOSE(CONTROL!$C$28, 0.0272, 0)</f>
        <v>30.613500000000002</v>
      </c>
      <c r="C285" s="4">
        <f>30.223 * CHOOSE(CONTROL!$C$9, $C$13, 100%, $E$13) + CHOOSE(CONTROL!$C$28, 0.0272, 0)</f>
        <v>30.2502</v>
      </c>
      <c r="D285" s="4">
        <f>39.8593 * CHOOSE(CONTROL!$C$9, $C$13, 100%, $E$13) + CHOOSE(CONTROL!$C$28, 0.0021, 0)</f>
        <v>39.861399999999996</v>
      </c>
      <c r="E285" s="4">
        <f>194.527194203729 * CHOOSE(CONTROL!$C$9, $C$13, 100%, $E$13) + CHOOSE(CONTROL!$C$28, 0.0021, 0)</f>
        <v>194.52929420372902</v>
      </c>
    </row>
    <row r="286" spans="1:5" ht="15">
      <c r="A286" s="14">
        <v>49827</v>
      </c>
      <c r="B286" s="4">
        <f>30.6806 * CHOOSE(CONTROL!$C$9, $C$13, 100%, $E$13) + CHOOSE(CONTROL!$C$28, 0.0272, 0)</f>
        <v>30.707799999999999</v>
      </c>
      <c r="C286" s="4">
        <f>30.3173 * CHOOSE(CONTROL!$C$9, $C$13, 100%, $E$13) + CHOOSE(CONTROL!$C$28, 0.0272, 0)</f>
        <v>30.3445</v>
      </c>
      <c r="D286" s="4">
        <f>40.2101 * CHOOSE(CONTROL!$C$9, $C$13, 100%, $E$13) + CHOOSE(CONTROL!$C$28, 0.0021, 0)</f>
        <v>40.212199999999996</v>
      </c>
      <c r="E286" s="4">
        <f>195.14270474935 * CHOOSE(CONTROL!$C$9, $C$13, 100%, $E$13) + CHOOSE(CONTROL!$C$28, 0.0021, 0)</f>
        <v>195.14480474935002</v>
      </c>
    </row>
    <row r="287" spans="1:5" ht="15">
      <c r="A287" s="14">
        <v>49857</v>
      </c>
      <c r="B287" s="4">
        <f>30.6711 * CHOOSE(CONTROL!$C$9, $C$13, 100%, $E$13) + CHOOSE(CONTROL!$C$28, 0.0272, 0)</f>
        <v>30.6983</v>
      </c>
      <c r="C287" s="4">
        <f>30.3078 * CHOOSE(CONTROL!$C$9, $C$13, 100%, $E$13) + CHOOSE(CONTROL!$C$28, 0.0272, 0)</f>
        <v>30.335000000000001</v>
      </c>
      <c r="D287" s="4">
        <f>40.843 * CHOOSE(CONTROL!$C$9, $C$13, 100%, $E$13) + CHOOSE(CONTROL!$C$28, 0.0021, 0)</f>
        <v>40.845100000000002</v>
      </c>
      <c r="E287" s="4">
        <f>195.080636459035 * CHOOSE(CONTROL!$C$9, $C$13, 100%, $E$13) + CHOOSE(CONTROL!$C$28, 0.0021, 0)</f>
        <v>195.082736459035</v>
      </c>
    </row>
    <row r="288" spans="1:5" ht="15">
      <c r="A288" s="14">
        <v>49888</v>
      </c>
      <c r="B288" s="4">
        <f>31.3869 * CHOOSE(CONTROL!$C$9, $C$13, 100%, $E$13) + CHOOSE(CONTROL!$C$28, 0.0272, 0)</f>
        <v>31.414100000000001</v>
      </c>
      <c r="C288" s="4">
        <f>31.0236 * CHOOSE(CONTROL!$C$9, $C$13, 100%, $E$13) + CHOOSE(CONTROL!$C$28, 0.0272, 0)</f>
        <v>31.050799999999999</v>
      </c>
      <c r="D288" s="4">
        <f>40.425 * CHOOSE(CONTROL!$C$9, $C$13, 100%, $E$13) + CHOOSE(CONTROL!$C$28, 0.0021, 0)</f>
        <v>40.427099999999996</v>
      </c>
      <c r="E288" s="4">
        <f>199.751275305215 * CHOOSE(CONTROL!$C$9, $C$13, 100%, $E$13) + CHOOSE(CONTROL!$C$28, 0.0021, 0)</f>
        <v>199.753375305215</v>
      </c>
    </row>
    <row r="289" spans="1:5" ht="15">
      <c r="A289" s="14">
        <v>49919</v>
      </c>
      <c r="B289" s="4">
        <f>30.1669 * CHOOSE(CONTROL!$C$9, $C$13, 100%, $E$13) + CHOOSE(CONTROL!$C$28, 0.0272, 0)</f>
        <v>30.194099999999999</v>
      </c>
      <c r="C289" s="4">
        <f>29.8036 * CHOOSE(CONTROL!$C$9, $C$13, 100%, $E$13) + CHOOSE(CONTROL!$C$28, 0.0272, 0)</f>
        <v>29.8308</v>
      </c>
      <c r="D289" s="4">
        <f>40.2275 * CHOOSE(CONTROL!$C$9, $C$13, 100%, $E$13) + CHOOSE(CONTROL!$C$28, 0.0021, 0)</f>
        <v>40.229599999999998</v>
      </c>
      <c r="E289" s="4">
        <f>191.791017072357 * CHOOSE(CONTROL!$C$9, $C$13, 100%, $E$13) + CHOOSE(CONTROL!$C$28, 0.0021, 0)</f>
        <v>191.79311707235701</v>
      </c>
    </row>
    <row r="290" spans="1:5" ht="15">
      <c r="A290" s="14">
        <v>49949</v>
      </c>
      <c r="B290" s="4">
        <f>29.1903 * CHOOSE(CONTROL!$C$9, $C$13, 100%, $E$13) + CHOOSE(CONTROL!$C$28, 0.0272, 0)</f>
        <v>29.217500000000001</v>
      </c>
      <c r="C290" s="4">
        <f>28.827 * CHOOSE(CONTROL!$C$9, $C$13, 100%, $E$13) + CHOOSE(CONTROL!$C$28, 0.0272, 0)</f>
        <v>28.854200000000002</v>
      </c>
      <c r="D290" s="4">
        <f>39.6987 * CHOOSE(CONTROL!$C$9, $C$13, 100%, $E$13) + CHOOSE(CONTROL!$C$28, 0.0021, 0)</f>
        <v>39.700800000000001</v>
      </c>
      <c r="E290" s="4">
        <f>185.41867260005 * CHOOSE(CONTROL!$C$9, $C$13, 100%, $E$13) + CHOOSE(CONTROL!$C$28, 0.0021, 0)</f>
        <v>185.42077260005001</v>
      </c>
    </row>
    <row r="291" spans="1:5" ht="15">
      <c r="A291" s="14">
        <v>49980</v>
      </c>
      <c r="B291" s="4">
        <f>28.5613 * CHOOSE(CONTROL!$C$9, $C$13, 100%, $E$13) + CHOOSE(CONTROL!$C$28, 0.0272, 0)</f>
        <v>28.5885</v>
      </c>
      <c r="C291" s="4">
        <f>28.198 * CHOOSE(CONTROL!$C$9, $C$13, 100%, $E$13) + CHOOSE(CONTROL!$C$28, 0.0272, 0)</f>
        <v>28.225200000000001</v>
      </c>
      <c r="D291" s="4">
        <f>39.5169 * CHOOSE(CONTROL!$C$9, $C$13, 100%, $E$13) + CHOOSE(CONTROL!$C$28, 0.0021, 0)</f>
        <v>39.518999999999998</v>
      </c>
      <c r="E291" s="4">
        <f>181.314406902992 * CHOOSE(CONTROL!$C$9, $C$13, 100%, $E$13) + CHOOSE(CONTROL!$C$28, 0.0021, 0)</f>
        <v>181.31650690299202</v>
      </c>
    </row>
    <row r="292" spans="1:5" ht="15">
      <c r="A292" s="14">
        <v>50010</v>
      </c>
      <c r="B292" s="4">
        <f>28.1261 * CHOOSE(CONTROL!$C$9, $C$13, 100%, $E$13) + CHOOSE(CONTROL!$C$28, 0.0272, 0)</f>
        <v>28.153300000000002</v>
      </c>
      <c r="C292" s="4">
        <f>27.7628 * CHOOSE(CONTROL!$C$9, $C$13, 100%, $E$13) + CHOOSE(CONTROL!$C$28, 0.0272, 0)</f>
        <v>27.79</v>
      </c>
      <c r="D292" s="4">
        <f>38.1786 * CHOOSE(CONTROL!$C$9, $C$13, 100%, $E$13) + CHOOSE(CONTROL!$C$28, 0.0021, 0)</f>
        <v>38.180700000000002</v>
      </c>
      <c r="E292" s="4">
        <f>178.474782621095 * CHOOSE(CONTROL!$C$9, $C$13, 100%, $E$13) + CHOOSE(CONTROL!$C$28, 0.0021, 0)</f>
        <v>178.476882621095</v>
      </c>
    </row>
    <row r="293" spans="1:5" ht="15">
      <c r="A293" s="14">
        <v>50041</v>
      </c>
      <c r="B293" s="4">
        <f>26.9354 * CHOOSE(CONTROL!$C$9, $C$13, 100%, $E$13) + CHOOSE(CONTROL!$C$28, 0.0272, 0)</f>
        <v>26.962600000000002</v>
      </c>
      <c r="C293" s="4">
        <f>26.5721 * CHOOSE(CONTROL!$C$9, $C$13, 100%, $E$13) + CHOOSE(CONTROL!$C$28, 0.0272, 0)</f>
        <v>26.599299999999999</v>
      </c>
      <c r="D293" s="4">
        <f>36.7042 * CHOOSE(CONTROL!$C$9, $C$13, 100%, $E$13) + CHOOSE(CONTROL!$C$28, 0.0021, 0)</f>
        <v>36.706299999999999</v>
      </c>
      <c r="E293" s="4">
        <f>171.040582708689 * CHOOSE(CONTROL!$C$9, $C$13, 100%, $E$13) + CHOOSE(CONTROL!$C$28, 0.0021, 0)</f>
        <v>171.042682708689</v>
      </c>
    </row>
    <row r="294" spans="1:5" ht="15">
      <c r="A294" s="14">
        <v>50072</v>
      </c>
      <c r="B294" s="4">
        <f>27.5566 * CHOOSE(CONTROL!$C$9, $C$13, 100%, $E$13) + CHOOSE(CONTROL!$C$28, 0.0272, 0)</f>
        <v>27.5838</v>
      </c>
      <c r="C294" s="4">
        <f>27.1933 * CHOOSE(CONTROL!$C$9, $C$13, 100%, $E$13) + CHOOSE(CONTROL!$C$28, 0.0272, 0)</f>
        <v>27.220500000000001</v>
      </c>
      <c r="D294" s="4">
        <f>37.9343 * CHOOSE(CONTROL!$C$9, $C$13, 100%, $E$13) + CHOOSE(CONTROL!$C$28, 0.0021, 0)</f>
        <v>37.936399999999999</v>
      </c>
      <c r="E294" s="4">
        <f>175.10176019764 * CHOOSE(CONTROL!$C$9, $C$13, 100%, $E$13) + CHOOSE(CONTROL!$C$28, 0.0021, 0)</f>
        <v>175.10386019764002</v>
      </c>
    </row>
    <row r="295" spans="1:5" ht="15">
      <c r="A295" s="14">
        <v>50100</v>
      </c>
      <c r="B295" s="4">
        <f>29.1879 * CHOOSE(CONTROL!$C$9, $C$13, 100%, $E$13) + CHOOSE(CONTROL!$C$28, 0.0272, 0)</f>
        <v>29.2151</v>
      </c>
      <c r="C295" s="4">
        <f>28.8246 * CHOOSE(CONTROL!$C$9, $C$13, 100%, $E$13) + CHOOSE(CONTROL!$C$28, 0.0272, 0)</f>
        <v>28.851800000000001</v>
      </c>
      <c r="D295" s="4">
        <f>39.8599 * CHOOSE(CONTROL!$C$9, $C$13, 100%, $E$13) + CHOOSE(CONTROL!$C$28, 0.0021, 0)</f>
        <v>39.862000000000002</v>
      </c>
      <c r="E295" s="4">
        <f>185.766628107706 * CHOOSE(CONTROL!$C$9, $C$13, 100%, $E$13) + CHOOSE(CONTROL!$C$28, 0.0021, 0)</f>
        <v>185.76872810770601</v>
      </c>
    </row>
    <row r="296" spans="1:5" ht="15">
      <c r="A296" s="14">
        <v>50131</v>
      </c>
      <c r="B296" s="4">
        <f>30.3469 * CHOOSE(CONTROL!$C$9, $C$13, 100%, $E$13) + CHOOSE(CONTROL!$C$28, 0.0272, 0)</f>
        <v>30.374100000000002</v>
      </c>
      <c r="C296" s="4">
        <f>29.9836 * CHOOSE(CONTROL!$C$9, $C$13, 100%, $E$13) + CHOOSE(CONTROL!$C$28, 0.0272, 0)</f>
        <v>30.0108</v>
      </c>
      <c r="D296" s="4">
        <f>40.9691 * CHOOSE(CONTROL!$C$9, $C$13, 100%, $E$13) + CHOOSE(CONTROL!$C$28, 0.0021, 0)</f>
        <v>40.971199999999996</v>
      </c>
      <c r="E296" s="4">
        <f>193.344158885859 * CHOOSE(CONTROL!$C$9, $C$13, 100%, $E$13) + CHOOSE(CONTROL!$C$28, 0.0021, 0)</f>
        <v>193.34625888585902</v>
      </c>
    </row>
    <row r="297" spans="1:5" ht="15">
      <c r="A297" s="14">
        <v>50161</v>
      </c>
      <c r="B297" s="4">
        <f>31.0551 * CHOOSE(CONTROL!$C$9, $C$13, 100%, $E$13) + CHOOSE(CONTROL!$C$28, 0.0272, 0)</f>
        <v>31.0823</v>
      </c>
      <c r="C297" s="4">
        <f>30.6918 * CHOOSE(CONTROL!$C$9, $C$13, 100%, $E$13) + CHOOSE(CONTROL!$C$28, 0.0272, 0)</f>
        <v>30.719000000000001</v>
      </c>
      <c r="D297" s="4">
        <f>40.5308 * CHOOSE(CONTROL!$C$9, $C$13, 100%, $E$13) + CHOOSE(CONTROL!$C$28, 0.0021, 0)</f>
        <v>40.532899999999998</v>
      </c>
      <c r="E297" s="4">
        <f>197.973848583245 * CHOOSE(CONTROL!$C$9, $C$13, 100%, $E$13) + CHOOSE(CONTROL!$C$28, 0.0021, 0)</f>
        <v>197.97594858324501</v>
      </c>
    </row>
    <row r="298" spans="1:5" ht="15">
      <c r="A298" s="14">
        <v>50192</v>
      </c>
      <c r="B298" s="4">
        <f>31.1509 * CHOOSE(CONTROL!$C$9, $C$13, 100%, $E$13) + CHOOSE(CONTROL!$C$28, 0.0272, 0)</f>
        <v>31.178100000000001</v>
      </c>
      <c r="C298" s="4">
        <f>30.7876 * CHOOSE(CONTROL!$C$9, $C$13, 100%, $E$13) + CHOOSE(CONTROL!$C$28, 0.0272, 0)</f>
        <v>30.814800000000002</v>
      </c>
      <c r="D298" s="4">
        <f>40.8878 * CHOOSE(CONTROL!$C$9, $C$13, 100%, $E$13) + CHOOSE(CONTROL!$C$28, 0.0021, 0)</f>
        <v>40.889899999999997</v>
      </c>
      <c r="E298" s="4">
        <f>198.600264812908 * CHOOSE(CONTROL!$C$9, $C$13, 100%, $E$13) + CHOOSE(CONTROL!$C$28, 0.0021, 0)</f>
        <v>198.60236481290801</v>
      </c>
    </row>
    <row r="299" spans="1:5" ht="15">
      <c r="A299" s="14">
        <v>50222</v>
      </c>
      <c r="B299" s="4">
        <f>31.1412 * CHOOSE(CONTROL!$C$9, $C$13, 100%, $E$13) + CHOOSE(CONTROL!$C$28, 0.0272, 0)</f>
        <v>31.168400000000002</v>
      </c>
      <c r="C299" s="4">
        <f>30.7779 * CHOOSE(CONTROL!$C$9, $C$13, 100%, $E$13) + CHOOSE(CONTROL!$C$28, 0.0272, 0)</f>
        <v>30.805099999999999</v>
      </c>
      <c r="D299" s="4">
        <f>41.5319 * CHOOSE(CONTROL!$C$9, $C$13, 100%, $E$13) + CHOOSE(CONTROL!$C$28, 0.0021, 0)</f>
        <v>41.533999999999999</v>
      </c>
      <c r="E299" s="4">
        <f>198.537096789749 * CHOOSE(CONTROL!$C$9, $C$13, 100%, $E$13) + CHOOSE(CONTROL!$C$28, 0.0021, 0)</f>
        <v>198.53919678974901</v>
      </c>
    </row>
    <row r="300" spans="1:5" ht="15">
      <c r="A300" s="14">
        <v>50253</v>
      </c>
      <c r="B300" s="4">
        <f>31.8683 * CHOOSE(CONTROL!$C$9, $C$13, 100%, $E$13) + CHOOSE(CONTROL!$C$28, 0.0272, 0)</f>
        <v>31.895500000000002</v>
      </c>
      <c r="C300" s="4">
        <f>31.505 * CHOOSE(CONTROL!$C$9, $C$13, 100%, $E$13) + CHOOSE(CONTROL!$C$28, 0.0272, 0)</f>
        <v>31.5322</v>
      </c>
      <c r="D300" s="4">
        <f>41.1065 * CHOOSE(CONTROL!$C$9, $C$13, 100%, $E$13) + CHOOSE(CONTROL!$C$28, 0.0021, 0)</f>
        <v>41.108599999999996</v>
      </c>
      <c r="E300" s="4">
        <f>203.290490532488 * CHOOSE(CONTROL!$C$9, $C$13, 100%, $E$13) + CHOOSE(CONTROL!$C$28, 0.0021, 0)</f>
        <v>203.29259053248802</v>
      </c>
    </row>
    <row r="301" spans="1:5" ht="15">
      <c r="A301" s="14">
        <v>50284</v>
      </c>
      <c r="B301" s="4">
        <f>30.6291 * CHOOSE(CONTROL!$C$9, $C$13, 100%, $E$13) + CHOOSE(CONTROL!$C$28, 0.0272, 0)</f>
        <v>30.656300000000002</v>
      </c>
      <c r="C301" s="4">
        <f>30.2658 * CHOOSE(CONTROL!$C$9, $C$13, 100%, $E$13) + CHOOSE(CONTROL!$C$28, 0.0272, 0)</f>
        <v>30.292999999999999</v>
      </c>
      <c r="D301" s="4">
        <f>40.9055 * CHOOSE(CONTROL!$C$9, $C$13, 100%, $E$13) + CHOOSE(CONTROL!$C$28, 0.0021, 0)</f>
        <v>40.907600000000002</v>
      </c>
      <c r="E301" s="4">
        <f>195.189191562305 * CHOOSE(CONTROL!$C$9, $C$13, 100%, $E$13) + CHOOSE(CONTROL!$C$28, 0.0021, 0)</f>
        <v>195.19129156230503</v>
      </c>
    </row>
    <row r="302" spans="1:5" ht="15">
      <c r="A302" s="14">
        <v>50314</v>
      </c>
      <c r="B302" s="4">
        <f>29.6372 * CHOOSE(CONTROL!$C$9, $C$13, 100%, $E$13) + CHOOSE(CONTROL!$C$28, 0.0272, 0)</f>
        <v>29.664400000000001</v>
      </c>
      <c r="C302" s="4">
        <f>29.2739 * CHOOSE(CONTROL!$C$9, $C$13, 100%, $E$13) + CHOOSE(CONTROL!$C$28, 0.0272, 0)</f>
        <v>29.301100000000002</v>
      </c>
      <c r="D302" s="4">
        <f>40.3674 * CHOOSE(CONTROL!$C$9, $C$13, 100%, $E$13) + CHOOSE(CONTROL!$C$28, 0.0021, 0)</f>
        <v>40.369500000000002</v>
      </c>
      <c r="E302" s="4">
        <f>188.703941184614 * CHOOSE(CONTROL!$C$9, $C$13, 100%, $E$13) + CHOOSE(CONTROL!$C$28, 0.0021, 0)</f>
        <v>188.70604118461401</v>
      </c>
    </row>
    <row r="303" spans="1:5" ht="15">
      <c r="A303" s="14">
        <v>50345</v>
      </c>
      <c r="B303" s="4">
        <f>28.9983 * CHOOSE(CONTROL!$C$9, $C$13, 100%, $E$13) + CHOOSE(CONTROL!$C$28, 0.0272, 0)</f>
        <v>29.025500000000001</v>
      </c>
      <c r="C303" s="4">
        <f>28.635 * CHOOSE(CONTROL!$C$9, $C$13, 100%, $E$13) + CHOOSE(CONTROL!$C$28, 0.0272, 0)</f>
        <v>28.662200000000002</v>
      </c>
      <c r="D303" s="4">
        <f>40.1824 * CHOOSE(CONTROL!$C$9, $C$13, 100%, $E$13) + CHOOSE(CONTROL!$C$28, 0.0021, 0)</f>
        <v>40.1845</v>
      </c>
      <c r="E303" s="4">
        <f>184.526955653204 * CHOOSE(CONTROL!$C$9, $C$13, 100%, $E$13) + CHOOSE(CONTROL!$C$28, 0.0021, 0)</f>
        <v>184.52905565320401</v>
      </c>
    </row>
    <row r="304" spans="1:5" ht="15">
      <c r="A304" s="14">
        <v>50375</v>
      </c>
      <c r="B304" s="4">
        <f>28.5562 * CHOOSE(CONTROL!$C$9, $C$13, 100%, $E$13) + CHOOSE(CONTROL!$C$28, 0.0272, 0)</f>
        <v>28.583400000000001</v>
      </c>
      <c r="C304" s="4">
        <f>28.1929 * CHOOSE(CONTROL!$C$9, $C$13, 100%, $E$13) + CHOOSE(CONTROL!$C$28, 0.0272, 0)</f>
        <v>28.220100000000002</v>
      </c>
      <c r="D304" s="4">
        <f>38.8204 * CHOOSE(CONTROL!$C$9, $C$13, 100%, $E$13) + CHOOSE(CONTROL!$C$28, 0.0021, 0)</f>
        <v>38.822499999999998</v>
      </c>
      <c r="E304" s="4">
        <f>181.637018593665 * CHOOSE(CONTROL!$C$9, $C$13, 100%, $E$13) + CHOOSE(CONTROL!$C$28, 0.0021, 0)</f>
        <v>181.63911859366502</v>
      </c>
    </row>
    <row r="305" spans="1:5" ht="15">
      <c r="A305" s="13">
        <v>50436</v>
      </c>
      <c r="B305" s="4">
        <f>27.3468 * CHOOSE(CONTROL!$C$9, $C$13, 100%, $E$13) + CHOOSE(CONTROL!$C$28, 0.0272, 0)</f>
        <v>27.374000000000002</v>
      </c>
      <c r="C305" s="4">
        <f>26.9835 * CHOOSE(CONTROL!$C$9, $C$13, 100%, $E$13) + CHOOSE(CONTROL!$C$28, 0.0272, 0)</f>
        <v>27.0107</v>
      </c>
      <c r="D305" s="4">
        <f>37.32 * CHOOSE(CONTROL!$C$9, $C$13, 100%, $E$13) + CHOOSE(CONTROL!$C$28, 0.0021, 0)</f>
        <v>37.322099999999999</v>
      </c>
      <c r="E305" s="4">
        <f>174.071098703539 * CHOOSE(CONTROL!$C$9, $C$13, 100%, $E$13) + CHOOSE(CONTROL!$C$28, 0.0021, 0)</f>
        <v>174.07319870353902</v>
      </c>
    </row>
    <row r="306" spans="1:5" ht="15">
      <c r="A306" s="13">
        <v>50464</v>
      </c>
      <c r="B306" s="4">
        <f>27.9778 * CHOOSE(CONTROL!$C$9, $C$13, 100%, $E$13) + CHOOSE(CONTROL!$C$28, 0.0272, 0)</f>
        <v>28.004999999999999</v>
      </c>
      <c r="C306" s="4">
        <f>27.6145 * CHOOSE(CONTROL!$C$9, $C$13, 100%, $E$13) + CHOOSE(CONTROL!$C$28, 0.0272, 0)</f>
        <v>27.6417</v>
      </c>
      <c r="D306" s="4">
        <f>38.5718 * CHOOSE(CONTROL!$C$9, $C$13, 100%, $E$13) + CHOOSE(CONTROL!$C$28, 0.0021, 0)</f>
        <v>38.573900000000002</v>
      </c>
      <c r="E306" s="4">
        <f>178.204232585198 * CHOOSE(CONTROL!$C$9, $C$13, 100%, $E$13) + CHOOSE(CONTROL!$C$28, 0.0021, 0)</f>
        <v>178.20633258519803</v>
      </c>
    </row>
    <row r="307" spans="1:5" ht="15">
      <c r="A307" s="13">
        <v>50495</v>
      </c>
      <c r="B307" s="4">
        <f>29.6347 * CHOOSE(CONTROL!$C$9, $C$13, 100%, $E$13) + CHOOSE(CONTROL!$C$28, 0.0272, 0)</f>
        <v>29.661899999999999</v>
      </c>
      <c r="C307" s="4">
        <f>29.2714 * CHOOSE(CONTROL!$C$9, $C$13, 100%, $E$13) + CHOOSE(CONTROL!$C$28, 0.0272, 0)</f>
        <v>29.2986</v>
      </c>
      <c r="D307" s="4">
        <f>40.5315 * CHOOSE(CONTROL!$C$9, $C$13, 100%, $E$13) + CHOOSE(CONTROL!$C$28, 0.0021, 0)</f>
        <v>40.5336</v>
      </c>
      <c r="E307" s="4">
        <f>189.058061806506 * CHOOSE(CONTROL!$C$9, $C$13, 100%, $E$13) + CHOOSE(CONTROL!$C$28, 0.0021, 0)</f>
        <v>189.06016180650602</v>
      </c>
    </row>
    <row r="308" spans="1:5" ht="15">
      <c r="A308" s="13">
        <v>50525</v>
      </c>
      <c r="B308" s="4">
        <f>30.812 * CHOOSE(CONTROL!$C$9, $C$13, 100%, $E$13) + CHOOSE(CONTROL!$C$28, 0.0272, 0)</f>
        <v>30.839200000000002</v>
      </c>
      <c r="C308" s="4">
        <f>30.4487 * CHOOSE(CONTROL!$C$9, $C$13, 100%, $E$13) + CHOOSE(CONTROL!$C$28, 0.0272, 0)</f>
        <v>30.475899999999999</v>
      </c>
      <c r="D308" s="4">
        <f>41.6603 * CHOOSE(CONTROL!$C$9, $C$13, 100%, $E$13) + CHOOSE(CONTROL!$C$28, 0.0021, 0)</f>
        <v>41.662399999999998</v>
      </c>
      <c r="E308" s="4">
        <f>196.769852114539 * CHOOSE(CONTROL!$C$9, $C$13, 100%, $E$13) + CHOOSE(CONTROL!$C$28, 0.0021, 0)</f>
        <v>196.771952114539</v>
      </c>
    </row>
    <row r="309" spans="1:5" ht="15">
      <c r="A309" s="13">
        <v>50556</v>
      </c>
      <c r="B309" s="4">
        <f>31.5312 * CHOOSE(CONTROL!$C$9, $C$13, 100%, $E$13) + CHOOSE(CONTROL!$C$28, 0.0272, 0)</f>
        <v>31.558399999999999</v>
      </c>
      <c r="C309" s="4">
        <f>31.168 * CHOOSE(CONTROL!$C$9, $C$13, 100%, $E$13) + CHOOSE(CONTROL!$C$28, 0.0272, 0)</f>
        <v>31.1952</v>
      </c>
      <c r="D309" s="4">
        <f>41.2142 * CHOOSE(CONTROL!$C$9, $C$13, 100%, $E$13) + CHOOSE(CONTROL!$C$28, 0.0021, 0)</f>
        <v>41.216299999999997</v>
      </c>
      <c r="E309" s="4">
        <f>201.481571166928 * CHOOSE(CONTROL!$C$9, $C$13, 100%, $E$13) + CHOOSE(CONTROL!$C$28, 0.0021, 0)</f>
        <v>201.48367116692802</v>
      </c>
    </row>
    <row r="310" spans="1:5" ht="15">
      <c r="A310" s="13">
        <v>50586</v>
      </c>
      <c r="B310" s="4">
        <f>31.6286 * CHOOSE(CONTROL!$C$9, $C$13, 100%, $E$13) + CHOOSE(CONTROL!$C$28, 0.0272, 0)</f>
        <v>31.655799999999999</v>
      </c>
      <c r="C310" s="4">
        <f>31.2653 * CHOOSE(CONTROL!$C$9, $C$13, 100%, $E$13) + CHOOSE(CONTROL!$C$28, 0.0272, 0)</f>
        <v>31.2925</v>
      </c>
      <c r="D310" s="4">
        <f>41.5775 * CHOOSE(CONTROL!$C$9, $C$13, 100%, $E$13) + CHOOSE(CONTROL!$C$28, 0.0021, 0)</f>
        <v>41.579599999999999</v>
      </c>
      <c r="E310" s="4">
        <f>202.119086308752 * CHOOSE(CONTROL!$C$9, $C$13, 100%, $E$13) + CHOOSE(CONTROL!$C$28, 0.0021, 0)</f>
        <v>202.12118630875202</v>
      </c>
    </row>
    <row r="311" spans="1:5" ht="15">
      <c r="A311" s="13">
        <v>50617</v>
      </c>
      <c r="B311" s="4">
        <f>31.6187 * CHOOSE(CONTROL!$C$9, $C$13, 100%, $E$13) + CHOOSE(CONTROL!$C$28, 0.0272, 0)</f>
        <v>31.645900000000001</v>
      </c>
      <c r="C311" s="4">
        <f>31.2555 * CHOOSE(CONTROL!$C$9, $C$13, 100%, $E$13) + CHOOSE(CONTROL!$C$28, 0.0272, 0)</f>
        <v>31.282700000000002</v>
      </c>
      <c r="D311" s="4">
        <f>42.233 * CHOOSE(CONTROL!$C$9, $C$13, 100%, $E$13) + CHOOSE(CONTROL!$C$28, 0.0021, 0)</f>
        <v>42.235099999999996</v>
      </c>
      <c r="E311" s="4">
        <f>202.05479906756 * CHOOSE(CONTROL!$C$9, $C$13, 100%, $E$13) + CHOOSE(CONTROL!$C$28, 0.0021, 0)</f>
        <v>202.05689906756001</v>
      </c>
    </row>
    <row r="312" spans="1:5" ht="15">
      <c r="A312" s="13">
        <v>50648</v>
      </c>
      <c r="B312" s="4">
        <f>32.3572 * CHOOSE(CONTROL!$C$9, $C$13, 100%, $E$13) + CHOOSE(CONTROL!$C$28, 0.0272, 0)</f>
        <v>32.384399999999999</v>
      </c>
      <c r="C312" s="4">
        <f>31.994 * CHOOSE(CONTROL!$C$9, $C$13, 100%, $E$13) + CHOOSE(CONTROL!$C$28, 0.0272, 0)</f>
        <v>32.0212</v>
      </c>
      <c r="D312" s="4">
        <f>41.8001 * CHOOSE(CONTROL!$C$9, $C$13, 100%, $E$13) + CHOOSE(CONTROL!$C$28, 0.0021, 0)</f>
        <v>41.802199999999999</v>
      </c>
      <c r="E312" s="4">
        <f>206.892413967284 * CHOOSE(CONTROL!$C$9, $C$13, 100%, $E$13) + CHOOSE(CONTROL!$C$28, 0.0021, 0)</f>
        <v>206.89451396728401</v>
      </c>
    </row>
    <row r="313" spans="1:5" ht="15">
      <c r="A313" s="13">
        <v>50678</v>
      </c>
      <c r="B313" s="4">
        <f>31.0986 * CHOOSE(CONTROL!$C$9, $C$13, 100%, $E$13) + CHOOSE(CONTROL!$C$28, 0.0272, 0)</f>
        <v>31.125800000000002</v>
      </c>
      <c r="C313" s="4">
        <f>30.7353 * CHOOSE(CONTROL!$C$9, $C$13, 100%, $E$13) + CHOOSE(CONTROL!$C$28, 0.0272, 0)</f>
        <v>30.762499999999999</v>
      </c>
      <c r="D313" s="4">
        <f>41.5956 * CHOOSE(CONTROL!$C$9, $C$13, 100%, $E$13) + CHOOSE(CONTROL!$C$28, 0.0021, 0)</f>
        <v>41.597699999999996</v>
      </c>
      <c r="E313" s="4">
        <f>198.647575284365 * CHOOSE(CONTROL!$C$9, $C$13, 100%, $E$13) + CHOOSE(CONTROL!$C$28, 0.0021, 0)</f>
        <v>198.649675284365</v>
      </c>
    </row>
    <row r="314" spans="1:5" ht="15">
      <c r="A314" s="13">
        <v>50709</v>
      </c>
      <c r="B314" s="4">
        <f>30.091 * CHOOSE(CONTROL!$C$9, $C$13, 100%, $E$13) + CHOOSE(CONTROL!$C$28, 0.0272, 0)</f>
        <v>30.118200000000002</v>
      </c>
      <c r="C314" s="4">
        <f>29.7278 * CHOOSE(CONTROL!$C$9, $C$13, 100%, $E$13) + CHOOSE(CONTROL!$C$28, 0.0272, 0)</f>
        <v>29.754999999999999</v>
      </c>
      <c r="D314" s="4">
        <f>41.0479 * CHOOSE(CONTROL!$C$9, $C$13, 100%, $E$13) + CHOOSE(CONTROL!$C$28, 0.0021, 0)</f>
        <v>41.05</v>
      </c>
      <c r="E314" s="4">
        <f>192.04741852195 * CHOOSE(CONTROL!$C$9, $C$13, 100%, $E$13) + CHOOSE(CONTROL!$C$28, 0.0021, 0)</f>
        <v>192.04951852195001</v>
      </c>
    </row>
    <row r="315" spans="1:5" ht="15">
      <c r="A315" s="13">
        <v>50739</v>
      </c>
      <c r="B315" s="4">
        <f>29.4421 * CHOOSE(CONTROL!$C$9, $C$13, 100%, $E$13) + CHOOSE(CONTROL!$C$28, 0.0272, 0)</f>
        <v>29.4693</v>
      </c>
      <c r="C315" s="4">
        <f>29.0788 * CHOOSE(CONTROL!$C$9, $C$13, 100%, $E$13) + CHOOSE(CONTROL!$C$28, 0.0272, 0)</f>
        <v>29.106000000000002</v>
      </c>
      <c r="D315" s="4">
        <f>40.8597 * CHOOSE(CONTROL!$C$9, $C$13, 100%, $E$13) + CHOOSE(CONTROL!$C$28, 0.0021, 0)</f>
        <v>40.861799999999995</v>
      </c>
      <c r="E315" s="4">
        <f>187.796424698106 * CHOOSE(CONTROL!$C$9, $C$13, 100%, $E$13) + CHOOSE(CONTROL!$C$28, 0.0021, 0)</f>
        <v>187.79852469810601</v>
      </c>
    </row>
    <row r="316" spans="1:5" ht="15">
      <c r="A316" s="13">
        <v>50770</v>
      </c>
      <c r="B316" s="4">
        <f>28.9931 * CHOOSE(CONTROL!$C$9, $C$13, 100%, $E$13) + CHOOSE(CONTROL!$C$28, 0.0272, 0)</f>
        <v>29.020299999999999</v>
      </c>
      <c r="C316" s="4">
        <f>28.6298 * CHOOSE(CONTROL!$C$9, $C$13, 100%, $E$13) + CHOOSE(CONTROL!$C$28, 0.0272, 0)</f>
        <v>28.657</v>
      </c>
      <c r="D316" s="4">
        <f>39.4736 * CHOOSE(CONTROL!$C$9, $C$13, 100%, $E$13) + CHOOSE(CONTROL!$C$28, 0.0021, 0)</f>
        <v>39.475699999999996</v>
      </c>
      <c r="E316" s="4">
        <f>184.855283413556 * CHOOSE(CONTROL!$C$9, $C$13, 100%, $E$13) + CHOOSE(CONTROL!$C$28, 0.0021, 0)</f>
        <v>184.85738341355602</v>
      </c>
    </row>
    <row r="317" spans="1:5" ht="15">
      <c r="A317" s="13">
        <v>50801</v>
      </c>
      <c r="B317" s="4">
        <f>27.7647 * CHOOSE(CONTROL!$C$9, $C$13, 100%, $E$13) + CHOOSE(CONTROL!$C$28, 0.0272, 0)</f>
        <v>27.791900000000002</v>
      </c>
      <c r="C317" s="4">
        <f>27.4014 * CHOOSE(CONTROL!$C$9, $C$13, 100%, $E$13) + CHOOSE(CONTROL!$C$28, 0.0272, 0)</f>
        <v>27.428599999999999</v>
      </c>
      <c r="D317" s="4">
        <f>37.9467 * CHOOSE(CONTROL!$C$9, $C$13, 100%, $E$13) + CHOOSE(CONTROL!$C$28, 0.0021, 0)</f>
        <v>37.948799999999999</v>
      </c>
      <c r="E317" s="4">
        <f>177.155309716552 * CHOOSE(CONTROL!$C$9, $C$13, 100%, $E$13) + CHOOSE(CONTROL!$C$28, 0.0021, 0)</f>
        <v>177.15740971655202</v>
      </c>
    </row>
    <row r="318" spans="1:5" ht="15">
      <c r="A318" s="13">
        <v>50829</v>
      </c>
      <c r="B318" s="4">
        <f>28.4056 * CHOOSE(CONTROL!$C$9, $C$13, 100%, $E$13) + CHOOSE(CONTROL!$C$28, 0.0272, 0)</f>
        <v>28.4328</v>
      </c>
      <c r="C318" s="4">
        <f>28.0423 * CHOOSE(CONTROL!$C$9, $C$13, 100%, $E$13) + CHOOSE(CONTROL!$C$28, 0.0272, 0)</f>
        <v>28.069500000000001</v>
      </c>
      <c r="D318" s="4">
        <f>39.2206 * CHOOSE(CONTROL!$C$9, $C$13, 100%, $E$13) + CHOOSE(CONTROL!$C$28, 0.0021, 0)</f>
        <v>39.222699999999996</v>
      </c>
      <c r="E318" s="4">
        <f>181.361674922256 * CHOOSE(CONTROL!$C$9, $C$13, 100%, $E$13) + CHOOSE(CONTROL!$C$28, 0.0021, 0)</f>
        <v>181.363774922256</v>
      </c>
    </row>
    <row r="319" spans="1:5" ht="15">
      <c r="A319" s="13">
        <v>50860</v>
      </c>
      <c r="B319" s="4">
        <f>30.0885 * CHOOSE(CONTROL!$C$9, $C$13, 100%, $E$13) + CHOOSE(CONTROL!$C$28, 0.0272, 0)</f>
        <v>30.1157</v>
      </c>
      <c r="C319" s="4">
        <f>29.7252 * CHOOSE(CONTROL!$C$9, $C$13, 100%, $E$13) + CHOOSE(CONTROL!$C$28, 0.0272, 0)</f>
        <v>29.752400000000002</v>
      </c>
      <c r="D319" s="4">
        <f>41.2149 * CHOOSE(CONTROL!$C$9, $C$13, 100%, $E$13) + CHOOSE(CONTROL!$C$28, 0.0021, 0)</f>
        <v>41.216999999999999</v>
      </c>
      <c r="E319" s="4">
        <f>192.407813492256 * CHOOSE(CONTROL!$C$9, $C$13, 100%, $E$13) + CHOOSE(CONTROL!$C$28, 0.0021, 0)</f>
        <v>192.40991349225601</v>
      </c>
    </row>
    <row r="320" spans="1:5" ht="15">
      <c r="A320" s="13">
        <v>50890</v>
      </c>
      <c r="B320" s="4">
        <f>31.2843 * CHOOSE(CONTROL!$C$9, $C$13, 100%, $E$13) + CHOOSE(CONTROL!$C$28, 0.0272, 0)</f>
        <v>31.311500000000002</v>
      </c>
      <c r="C320" s="4">
        <f>30.921 * CHOOSE(CONTROL!$C$9, $C$13, 100%, $E$13) + CHOOSE(CONTROL!$C$28, 0.0272, 0)</f>
        <v>30.9482</v>
      </c>
      <c r="D320" s="4">
        <f>42.3636 * CHOOSE(CONTROL!$C$9, $C$13, 100%, $E$13) + CHOOSE(CONTROL!$C$28, 0.0021, 0)</f>
        <v>42.365699999999997</v>
      </c>
      <c r="E320" s="4">
        <f>200.256242155393 * CHOOSE(CONTROL!$C$9, $C$13, 100%, $E$13) + CHOOSE(CONTROL!$C$28, 0.0021, 0)</f>
        <v>200.25834215539302</v>
      </c>
    </row>
    <row r="321" spans="1:5" ht="15">
      <c r="A321" s="13">
        <v>50921</v>
      </c>
      <c r="B321" s="4">
        <f>32.0149 * CHOOSE(CONTROL!$C$9, $C$13, 100%, $E$13) + CHOOSE(CONTROL!$C$28, 0.0272, 0)</f>
        <v>32.042099999999998</v>
      </c>
      <c r="C321" s="4">
        <f>31.6516 * CHOOSE(CONTROL!$C$9, $C$13, 100%, $E$13) + CHOOSE(CONTROL!$C$28, 0.0272, 0)</f>
        <v>31.678799999999999</v>
      </c>
      <c r="D321" s="4">
        <f>41.9097 * CHOOSE(CONTROL!$C$9, $C$13, 100%, $E$13) + CHOOSE(CONTROL!$C$28, 0.0021, 0)</f>
        <v>41.911799999999999</v>
      </c>
      <c r="E321" s="4">
        <f>205.051443967987 * CHOOSE(CONTROL!$C$9, $C$13, 100%, $E$13) + CHOOSE(CONTROL!$C$28, 0.0021, 0)</f>
        <v>205.05354396798703</v>
      </c>
    </row>
    <row r="322" spans="1:5" ht="15">
      <c r="A322" s="13">
        <v>50951</v>
      </c>
      <c r="B322" s="4">
        <f>32.1138 * CHOOSE(CONTROL!$C$9, $C$13, 100%, $E$13) + CHOOSE(CONTROL!$C$28, 0.0272, 0)</f>
        <v>32.140999999999998</v>
      </c>
      <c r="C322" s="4">
        <f>31.7505 * CHOOSE(CONTROL!$C$9, $C$13, 100%, $E$13) + CHOOSE(CONTROL!$C$28, 0.0272, 0)</f>
        <v>31.777699999999999</v>
      </c>
      <c r="D322" s="4">
        <f>42.2794 * CHOOSE(CONTROL!$C$9, $C$13, 100%, $E$13) + CHOOSE(CONTROL!$C$28, 0.0021, 0)</f>
        <v>42.281500000000001</v>
      </c>
      <c r="E322" s="4">
        <f>205.700254673727 * CHOOSE(CONTROL!$C$9, $C$13, 100%, $E$13) + CHOOSE(CONTROL!$C$28, 0.0021, 0)</f>
        <v>205.702354673727</v>
      </c>
    </row>
    <row r="323" spans="1:5" ht="15">
      <c r="A323" s="13">
        <v>50982</v>
      </c>
      <c r="B323" s="4">
        <f>32.1038 * CHOOSE(CONTROL!$C$9, $C$13, 100%, $E$13) + CHOOSE(CONTROL!$C$28, 0.0272, 0)</f>
        <v>32.131</v>
      </c>
      <c r="C323" s="4">
        <f>31.7405 * CHOOSE(CONTROL!$C$9, $C$13, 100%, $E$13) + CHOOSE(CONTROL!$C$28, 0.0272, 0)</f>
        <v>31.767700000000001</v>
      </c>
      <c r="D323" s="4">
        <f>42.9464 * CHOOSE(CONTROL!$C$9, $C$13, 100%, $E$13) + CHOOSE(CONTROL!$C$28, 0.0021, 0)</f>
        <v>42.948499999999996</v>
      </c>
      <c r="E323" s="4">
        <f>205.634828384073 * CHOOSE(CONTROL!$C$9, $C$13, 100%, $E$13) + CHOOSE(CONTROL!$C$28, 0.0021, 0)</f>
        <v>205.636928384073</v>
      </c>
    </row>
    <row r="324" spans="1:5" ht="15">
      <c r="A324" s="13">
        <v>51013</v>
      </c>
      <c r="B324" s="4">
        <f>32.8539 * CHOOSE(CONTROL!$C$9, $C$13, 100%, $E$13) + CHOOSE(CONTROL!$C$28, 0.0272, 0)</f>
        <v>32.881100000000004</v>
      </c>
      <c r="C324" s="4">
        <f>32.4906 * CHOOSE(CONTROL!$C$9, $C$13, 100%, $E$13) + CHOOSE(CONTROL!$C$28, 0.0272, 0)</f>
        <v>32.517800000000001</v>
      </c>
      <c r="D324" s="4">
        <f>42.5059 * CHOOSE(CONTROL!$C$9, $C$13, 100%, $E$13) + CHOOSE(CONTROL!$C$28, 0.0021, 0)</f>
        <v>42.507999999999996</v>
      </c>
      <c r="E324" s="4">
        <f>210.558156680573 * CHOOSE(CONTROL!$C$9, $C$13, 100%, $E$13) + CHOOSE(CONTROL!$C$28, 0.0021, 0)</f>
        <v>210.56025668057302</v>
      </c>
    </row>
    <row r="325" spans="1:5" ht="15">
      <c r="A325" s="13">
        <v>51043</v>
      </c>
      <c r="B325" s="4">
        <f>31.5755 * CHOOSE(CONTROL!$C$9, $C$13, 100%, $E$13) + CHOOSE(CONTROL!$C$28, 0.0272, 0)</f>
        <v>31.602700000000002</v>
      </c>
      <c r="C325" s="4">
        <f>31.2122 * CHOOSE(CONTROL!$C$9, $C$13, 100%, $E$13) + CHOOSE(CONTROL!$C$28, 0.0272, 0)</f>
        <v>31.2394</v>
      </c>
      <c r="D325" s="4">
        <f>42.2978 * CHOOSE(CONTROL!$C$9, $C$13, 100%, $E$13) + CHOOSE(CONTROL!$C$28, 0.0021, 0)</f>
        <v>42.299900000000001</v>
      </c>
      <c r="E325" s="4">
        <f>202.167235032384 * CHOOSE(CONTROL!$C$9, $C$13, 100%, $E$13) + CHOOSE(CONTROL!$C$28, 0.0021, 0)</f>
        <v>202.16933503238403</v>
      </c>
    </row>
    <row r="326" spans="1:5" ht="15">
      <c r="A326" s="13">
        <v>51074</v>
      </c>
      <c r="B326" s="4">
        <f>30.5521 * CHOOSE(CONTROL!$C$9, $C$13, 100%, $E$13) + CHOOSE(CONTROL!$C$28, 0.0272, 0)</f>
        <v>30.5793</v>
      </c>
      <c r="C326" s="4">
        <f>30.1888 * CHOOSE(CONTROL!$C$9, $C$13, 100%, $E$13) + CHOOSE(CONTROL!$C$28, 0.0272, 0)</f>
        <v>30.216000000000001</v>
      </c>
      <c r="D326" s="4">
        <f>41.7405 * CHOOSE(CONTROL!$C$9, $C$13, 100%, $E$13) + CHOOSE(CONTROL!$C$28, 0.0021, 0)</f>
        <v>41.742599999999996</v>
      </c>
      <c r="E326" s="4">
        <f>195.45013596119 * CHOOSE(CONTROL!$C$9, $C$13, 100%, $E$13) + CHOOSE(CONTROL!$C$28, 0.0021, 0)</f>
        <v>195.45223596119001</v>
      </c>
    </row>
    <row r="327" spans="1:5" ht="15">
      <c r="A327" s="13">
        <v>51104</v>
      </c>
      <c r="B327" s="4">
        <f>29.8929 * CHOOSE(CONTROL!$C$9, $C$13, 100%, $E$13) + CHOOSE(CONTROL!$C$28, 0.0272, 0)</f>
        <v>29.920100000000001</v>
      </c>
      <c r="C327" s="4">
        <f>29.5296 * CHOOSE(CONTROL!$C$9, $C$13, 100%, $E$13) + CHOOSE(CONTROL!$C$28, 0.0272, 0)</f>
        <v>29.556799999999999</v>
      </c>
      <c r="D327" s="4">
        <f>41.5489 * CHOOSE(CONTROL!$C$9, $C$13, 100%, $E$13) + CHOOSE(CONTROL!$C$28, 0.0021, 0)</f>
        <v>41.551000000000002</v>
      </c>
      <c r="E327" s="4">
        <f>191.123822557786 * CHOOSE(CONTROL!$C$9, $C$13, 100%, $E$13) + CHOOSE(CONTROL!$C$28, 0.0021, 0)</f>
        <v>191.12592255778603</v>
      </c>
    </row>
    <row r="328" spans="1:5" ht="15">
      <c r="A328" s="13">
        <v>51135</v>
      </c>
      <c r="B328" s="4">
        <f>29.4369 * CHOOSE(CONTROL!$C$9, $C$13, 100%, $E$13) + CHOOSE(CONTROL!$C$28, 0.0272, 0)</f>
        <v>29.464100000000002</v>
      </c>
      <c r="C328" s="4">
        <f>29.0736 * CHOOSE(CONTROL!$C$9, $C$13, 100%, $E$13) + CHOOSE(CONTROL!$C$28, 0.0272, 0)</f>
        <v>29.1008</v>
      </c>
      <c r="D328" s="4">
        <f>40.1383 * CHOOSE(CONTROL!$C$9, $C$13, 100%, $E$13) + CHOOSE(CONTROL!$C$28, 0.0021, 0)</f>
        <v>40.1404</v>
      </c>
      <c r="E328" s="4">
        <f>188.130569806093 * CHOOSE(CONTROL!$C$9, $C$13, 100%, $E$13) + CHOOSE(CONTROL!$C$28, 0.0021, 0)</f>
        <v>188.13266980609302</v>
      </c>
    </row>
    <row r="329" spans="1:5" ht="15">
      <c r="A329" s="13">
        <v>51166</v>
      </c>
      <c r="B329" s="4">
        <f>28.1891 * CHOOSE(CONTROL!$C$9, $C$13, 100%, $E$13) + CHOOSE(CONTROL!$C$28, 0.0272, 0)</f>
        <v>28.2163</v>
      </c>
      <c r="C329" s="4">
        <f>27.8258 * CHOOSE(CONTROL!$C$9, $C$13, 100%, $E$13) + CHOOSE(CONTROL!$C$28, 0.0272, 0)</f>
        <v>27.853000000000002</v>
      </c>
      <c r="D329" s="4">
        <f>38.5844 * CHOOSE(CONTROL!$C$9, $C$13, 100%, $E$13) + CHOOSE(CONTROL!$C$28, 0.0021, 0)</f>
        <v>38.586500000000001</v>
      </c>
      <c r="E329" s="4">
        <f>180.294167122008 * CHOOSE(CONTROL!$C$9, $C$13, 100%, $E$13) + CHOOSE(CONTROL!$C$28, 0.0021, 0)</f>
        <v>180.296267122008</v>
      </c>
    </row>
    <row r="330" spans="1:5" ht="15">
      <c r="A330" s="13">
        <v>51194</v>
      </c>
      <c r="B330" s="4">
        <f>28.8401 * CHOOSE(CONTROL!$C$9, $C$13, 100%, $E$13) + CHOOSE(CONTROL!$C$28, 0.0272, 0)</f>
        <v>28.8673</v>
      </c>
      <c r="C330" s="4">
        <f>28.4768 * CHOOSE(CONTROL!$C$9, $C$13, 100%, $E$13) + CHOOSE(CONTROL!$C$28, 0.0272, 0)</f>
        <v>28.504000000000001</v>
      </c>
      <c r="D330" s="4">
        <f>39.8809 * CHOOSE(CONTROL!$C$9, $C$13, 100%, $E$13) + CHOOSE(CONTROL!$C$28, 0.0021, 0)</f>
        <v>39.882999999999996</v>
      </c>
      <c r="E330" s="4">
        <f>184.57506117247 * CHOOSE(CONTROL!$C$9, $C$13, 100%, $E$13) + CHOOSE(CONTROL!$C$28, 0.0021, 0)</f>
        <v>184.57716117247</v>
      </c>
    </row>
    <row r="331" spans="1:5" ht="15">
      <c r="A331" s="13">
        <v>51226</v>
      </c>
      <c r="B331" s="4">
        <f>30.5495 * CHOOSE(CONTROL!$C$9, $C$13, 100%, $E$13) + CHOOSE(CONTROL!$C$28, 0.0272, 0)</f>
        <v>30.576699999999999</v>
      </c>
      <c r="C331" s="4">
        <f>30.1862 * CHOOSE(CONTROL!$C$9, $C$13, 100%, $E$13) + CHOOSE(CONTROL!$C$28, 0.0272, 0)</f>
        <v>30.2134</v>
      </c>
      <c r="D331" s="4">
        <f>41.9103 * CHOOSE(CONTROL!$C$9, $C$13, 100%, $E$13) + CHOOSE(CONTROL!$C$28, 0.0021, 0)</f>
        <v>41.912399999999998</v>
      </c>
      <c r="E331" s="4">
        <f>195.816916449509 * CHOOSE(CONTROL!$C$9, $C$13, 100%, $E$13) + CHOOSE(CONTROL!$C$28, 0.0021, 0)</f>
        <v>195.81901644950901</v>
      </c>
    </row>
    <row r="332" spans="1:5" ht="15">
      <c r="A332" s="13">
        <v>51256</v>
      </c>
      <c r="B332" s="4">
        <f>31.7641 * CHOOSE(CONTROL!$C$9, $C$13, 100%, $E$13) + CHOOSE(CONTROL!$C$28, 0.0272, 0)</f>
        <v>31.7913</v>
      </c>
      <c r="C332" s="4">
        <f>31.4008 * CHOOSE(CONTROL!$C$9, $C$13, 100%, $E$13) + CHOOSE(CONTROL!$C$28, 0.0272, 0)</f>
        <v>31.428000000000001</v>
      </c>
      <c r="D332" s="4">
        <f>43.0794 * CHOOSE(CONTROL!$C$9, $C$13, 100%, $E$13) + CHOOSE(CONTROL!$C$28, 0.0021, 0)</f>
        <v>43.081499999999998</v>
      </c>
      <c r="E332" s="4">
        <f>203.804404441265 * CHOOSE(CONTROL!$C$9, $C$13, 100%, $E$13) + CHOOSE(CONTROL!$C$28, 0.0021, 0)</f>
        <v>203.80650444126502</v>
      </c>
    </row>
    <row r="333" spans="1:5" ht="15">
      <c r="A333" s="13">
        <v>51287</v>
      </c>
      <c r="B333" s="4">
        <f>32.5062 * CHOOSE(CONTROL!$C$9, $C$13, 100%, $E$13) + CHOOSE(CONTROL!$C$28, 0.0272, 0)</f>
        <v>32.5334</v>
      </c>
      <c r="C333" s="4">
        <f>32.1429 * CHOOSE(CONTROL!$C$9, $C$13, 100%, $E$13) + CHOOSE(CONTROL!$C$28, 0.0272, 0)</f>
        <v>32.170099999999998</v>
      </c>
      <c r="D333" s="4">
        <f>42.6174 * CHOOSE(CONTROL!$C$9, $C$13, 100%, $E$13) + CHOOSE(CONTROL!$C$28, 0.0021, 0)</f>
        <v>42.619500000000002</v>
      </c>
      <c r="E333" s="4">
        <f>208.684568170858 * CHOOSE(CONTROL!$C$9, $C$13, 100%, $E$13) + CHOOSE(CONTROL!$C$28, 0.0021, 0)</f>
        <v>208.68666817085801</v>
      </c>
    </row>
    <row r="334" spans="1:5" ht="15">
      <c r="A334" s="13">
        <v>51317</v>
      </c>
      <c r="B334" s="4">
        <f>32.6066 * CHOOSE(CONTROL!$C$9, $C$13, 100%, $E$13) + CHOOSE(CONTROL!$C$28, 0.0272, 0)</f>
        <v>32.633800000000001</v>
      </c>
      <c r="C334" s="4">
        <f>32.2433 * CHOOSE(CONTROL!$C$9, $C$13, 100%, $E$13) + CHOOSE(CONTROL!$C$28, 0.0272, 0)</f>
        <v>32.270499999999998</v>
      </c>
      <c r="D334" s="4">
        <f>42.9937 * CHOOSE(CONTROL!$C$9, $C$13, 100%, $E$13) + CHOOSE(CONTROL!$C$28, 0.0021, 0)</f>
        <v>42.995799999999996</v>
      </c>
      <c r="E334" s="4">
        <f>209.344874576568 * CHOOSE(CONTROL!$C$9, $C$13, 100%, $E$13) + CHOOSE(CONTROL!$C$28, 0.0021, 0)</f>
        <v>209.34697457656802</v>
      </c>
    </row>
    <row r="335" spans="1:5" ht="15">
      <c r="A335" s="13">
        <v>51348</v>
      </c>
      <c r="B335" s="4">
        <f>32.5965 * CHOOSE(CONTROL!$C$9, $C$13, 100%, $E$13) + CHOOSE(CONTROL!$C$28, 0.0272, 0)</f>
        <v>32.623699999999999</v>
      </c>
      <c r="C335" s="4">
        <f>32.2332 * CHOOSE(CONTROL!$C$9, $C$13, 100%, $E$13) + CHOOSE(CONTROL!$C$28, 0.0272, 0)</f>
        <v>32.260399999999997</v>
      </c>
      <c r="D335" s="4">
        <f>43.6725 * CHOOSE(CONTROL!$C$9, $C$13, 100%, $E$13) + CHOOSE(CONTROL!$C$28, 0.0021, 0)</f>
        <v>43.674599999999998</v>
      </c>
      <c r="E335" s="4">
        <f>209.278289056664 * CHOOSE(CONTROL!$C$9, $C$13, 100%, $E$13) + CHOOSE(CONTROL!$C$28, 0.0021, 0)</f>
        <v>209.28038905666401</v>
      </c>
    </row>
    <row r="336" spans="1:5" ht="15">
      <c r="A336" s="13">
        <v>51379</v>
      </c>
      <c r="B336" s="4">
        <f>33.3584 * CHOOSE(CONTROL!$C$9, $C$13, 100%, $E$13) + CHOOSE(CONTROL!$C$28, 0.0272, 0)</f>
        <v>33.385600000000004</v>
      </c>
      <c r="C336" s="4">
        <f>32.9951 * CHOOSE(CONTROL!$C$9, $C$13, 100%, $E$13) + CHOOSE(CONTROL!$C$28, 0.0272, 0)</f>
        <v>33.022300000000001</v>
      </c>
      <c r="D336" s="4">
        <f>43.2242 * CHOOSE(CONTROL!$C$9, $C$13, 100%, $E$13) + CHOOSE(CONTROL!$C$28, 0.0021, 0)</f>
        <v>43.226300000000002</v>
      </c>
      <c r="E336" s="4">
        <f>214.288849429402 * CHOOSE(CONTROL!$C$9, $C$13, 100%, $E$13) + CHOOSE(CONTROL!$C$28, 0.0021, 0)</f>
        <v>214.29094942940202</v>
      </c>
    </row>
    <row r="337" spans="1:5" ht="15">
      <c r="A337" s="13">
        <v>51409</v>
      </c>
      <c r="B337" s="4">
        <f>32.0598 * CHOOSE(CONTROL!$C$9, $C$13, 100%, $E$13) + CHOOSE(CONTROL!$C$28, 0.0272, 0)</f>
        <v>32.087000000000003</v>
      </c>
      <c r="C337" s="4">
        <f>31.6965 * CHOOSE(CONTROL!$C$9, $C$13, 100%, $E$13) + CHOOSE(CONTROL!$C$28, 0.0272, 0)</f>
        <v>31.723700000000001</v>
      </c>
      <c r="D337" s="4">
        <f>43.0124 * CHOOSE(CONTROL!$C$9, $C$13, 100%, $E$13) + CHOOSE(CONTROL!$C$28, 0.0021, 0)</f>
        <v>43.014499999999998</v>
      </c>
      <c r="E337" s="4">
        <f>205.749256501779 * CHOOSE(CONTROL!$C$9, $C$13, 100%, $E$13) + CHOOSE(CONTROL!$C$28, 0.0021, 0)</f>
        <v>205.75135650177901</v>
      </c>
    </row>
    <row r="338" spans="1:5" ht="15">
      <c r="A338" s="13">
        <v>51440</v>
      </c>
      <c r="B338" s="4">
        <f>31.0203 * CHOOSE(CONTROL!$C$9, $C$13, 100%, $E$13) + CHOOSE(CONTROL!$C$28, 0.0272, 0)</f>
        <v>31.047499999999999</v>
      </c>
      <c r="C338" s="4">
        <f>30.657 * CHOOSE(CONTROL!$C$9, $C$13, 100%, $E$13) + CHOOSE(CONTROL!$C$28, 0.0272, 0)</f>
        <v>30.684200000000001</v>
      </c>
      <c r="D338" s="4">
        <f>42.4452 * CHOOSE(CONTROL!$C$9, $C$13, 100%, $E$13) + CHOOSE(CONTROL!$C$28, 0.0021, 0)</f>
        <v>42.447299999999998</v>
      </c>
      <c r="E338" s="4">
        <f>198.913143125021 * CHOOSE(CONTROL!$C$9, $C$13, 100%, $E$13) + CHOOSE(CONTROL!$C$28, 0.0021, 0)</f>
        <v>198.91524312502102</v>
      </c>
    </row>
    <row r="339" spans="1:5" ht="15">
      <c r="A339" s="13">
        <v>51470</v>
      </c>
      <c r="B339" s="4">
        <f>30.3508 * CHOOSE(CONTROL!$C$9, $C$13, 100%, $E$13) + CHOOSE(CONTROL!$C$28, 0.0272, 0)</f>
        <v>30.378</v>
      </c>
      <c r="C339" s="4">
        <f>29.9875 * CHOOSE(CONTROL!$C$9, $C$13, 100%, $E$13) + CHOOSE(CONTROL!$C$28, 0.0272, 0)</f>
        <v>30.014700000000001</v>
      </c>
      <c r="D339" s="4">
        <f>42.2502 * CHOOSE(CONTROL!$C$9, $C$13, 100%, $E$13) + CHOOSE(CONTROL!$C$28, 0.0021, 0)</f>
        <v>42.252299999999998</v>
      </c>
      <c r="E339" s="4">
        <f>194.510175621403 * CHOOSE(CONTROL!$C$9, $C$13, 100%, $E$13) + CHOOSE(CONTROL!$C$28, 0.0021, 0)</f>
        <v>194.51227562140301</v>
      </c>
    </row>
    <row r="340" spans="1:5" ht="15">
      <c r="A340" s="13">
        <v>51501</v>
      </c>
      <c r="B340" s="4">
        <f>29.8876 * CHOOSE(CONTROL!$C$9, $C$13, 100%, $E$13) + CHOOSE(CONTROL!$C$28, 0.0272, 0)</f>
        <v>29.9148</v>
      </c>
      <c r="C340" s="4">
        <f>29.5243 * CHOOSE(CONTROL!$C$9, $C$13, 100%, $E$13) + CHOOSE(CONTROL!$C$28, 0.0272, 0)</f>
        <v>29.551500000000001</v>
      </c>
      <c r="D340" s="4">
        <f>40.8147 * CHOOSE(CONTROL!$C$9, $C$13, 100%, $E$13) + CHOOSE(CONTROL!$C$28, 0.0021, 0)</f>
        <v>40.816800000000001</v>
      </c>
      <c r="E340" s="4">
        <f>191.463888085818 * CHOOSE(CONTROL!$C$9, $C$13, 100%, $E$13) + CHOOSE(CONTROL!$C$28, 0.0021, 0)</f>
        <v>191.46598808581803</v>
      </c>
    </row>
    <row r="341" spans="1:5" ht="15">
      <c r="A341" s="13">
        <v>51532</v>
      </c>
      <c r="B341" s="4">
        <f>28.6202 * CHOOSE(CONTROL!$C$9, $C$13, 100%, $E$13) + CHOOSE(CONTROL!$C$28, 0.0272, 0)</f>
        <v>28.647400000000001</v>
      </c>
      <c r="C341" s="4">
        <f>28.2569 * CHOOSE(CONTROL!$C$9, $C$13, 100%, $E$13) + CHOOSE(CONTROL!$C$28, 0.0272, 0)</f>
        <v>28.284100000000002</v>
      </c>
      <c r="D341" s="4">
        <f>39.2334 * CHOOSE(CONTROL!$C$9, $C$13, 100%, $E$13) + CHOOSE(CONTROL!$C$28, 0.0021, 0)</f>
        <v>39.235500000000002</v>
      </c>
      <c r="E341" s="4">
        <f>183.488639150743 * CHOOSE(CONTROL!$C$9, $C$13, 100%, $E$13) + CHOOSE(CONTROL!$C$28, 0.0021, 0)</f>
        <v>183.49073915074302</v>
      </c>
    </row>
    <row r="342" spans="1:5" ht="15">
      <c r="A342" s="13">
        <v>51560</v>
      </c>
      <c r="B342" s="4">
        <f>29.2814 * CHOOSE(CONTROL!$C$9, $C$13, 100%, $E$13) + CHOOSE(CONTROL!$C$28, 0.0272, 0)</f>
        <v>29.308600000000002</v>
      </c>
      <c r="C342" s="4">
        <f>28.9181 * CHOOSE(CONTROL!$C$9, $C$13, 100%, $E$13) + CHOOSE(CONTROL!$C$28, 0.0272, 0)</f>
        <v>28.9453</v>
      </c>
      <c r="D342" s="4">
        <f>40.5528 * CHOOSE(CONTROL!$C$9, $C$13, 100%, $E$13) + CHOOSE(CONTROL!$C$28, 0.0021, 0)</f>
        <v>40.554899999999996</v>
      </c>
      <c r="E342" s="4">
        <f>187.845382556292 * CHOOSE(CONTROL!$C$9, $C$13, 100%, $E$13) + CHOOSE(CONTROL!$C$28, 0.0021, 0)</f>
        <v>187.84748255629202</v>
      </c>
    </row>
    <row r="343" spans="1:5" ht="15">
      <c r="A343" s="13">
        <v>51591</v>
      </c>
      <c r="B343" s="4">
        <f>31.0177 * CHOOSE(CONTROL!$C$9, $C$13, 100%, $E$13) + CHOOSE(CONTROL!$C$28, 0.0272, 0)</f>
        <v>31.044900000000002</v>
      </c>
      <c r="C343" s="4">
        <f>30.6545 * CHOOSE(CONTROL!$C$9, $C$13, 100%, $E$13) + CHOOSE(CONTROL!$C$28, 0.0272, 0)</f>
        <v>30.681699999999999</v>
      </c>
      <c r="D343" s="4">
        <f>42.6181 * CHOOSE(CONTROL!$C$9, $C$13, 100%, $E$13) + CHOOSE(CONTROL!$C$28, 0.0021, 0)</f>
        <v>42.620199999999997</v>
      </c>
      <c r="E343" s="4">
        <f>199.28642227067 * CHOOSE(CONTROL!$C$9, $C$13, 100%, $E$13) + CHOOSE(CONTROL!$C$28, 0.0021, 0)</f>
        <v>199.28852227067</v>
      </c>
    </row>
    <row r="344" spans="1:5" ht="15">
      <c r="A344" s="13">
        <v>51621</v>
      </c>
      <c r="B344" s="4">
        <f>32.2514 * CHOOSE(CONTROL!$C$9, $C$13, 100%, $E$13) + CHOOSE(CONTROL!$C$28, 0.0272, 0)</f>
        <v>32.278599999999997</v>
      </c>
      <c r="C344" s="4">
        <f>31.8881 * CHOOSE(CONTROL!$C$9, $C$13, 100%, $E$13) + CHOOSE(CONTROL!$C$28, 0.0272, 0)</f>
        <v>31.915300000000002</v>
      </c>
      <c r="D344" s="4">
        <f>43.8078 * CHOOSE(CONTROL!$C$9, $C$13, 100%, $E$13) + CHOOSE(CONTROL!$C$28, 0.0021, 0)</f>
        <v>43.809899999999999</v>
      </c>
      <c r="E344" s="4">
        <f>207.415433459636 * CHOOSE(CONTROL!$C$9, $C$13, 100%, $E$13) + CHOOSE(CONTROL!$C$28, 0.0021, 0)</f>
        <v>207.41753345963602</v>
      </c>
    </row>
    <row r="345" spans="1:5" ht="15">
      <c r="A345" s="13">
        <v>51652</v>
      </c>
      <c r="B345" s="4">
        <f>33.0052 * CHOOSE(CONTROL!$C$9, $C$13, 100%, $E$13) + CHOOSE(CONTROL!$C$28, 0.0272, 0)</f>
        <v>33.032400000000003</v>
      </c>
      <c r="C345" s="4">
        <f>32.6419 * CHOOSE(CONTROL!$C$9, $C$13, 100%, $E$13) + CHOOSE(CONTROL!$C$28, 0.0272, 0)</f>
        <v>32.6691</v>
      </c>
      <c r="D345" s="4">
        <f>43.3377 * CHOOSE(CONTROL!$C$9, $C$13, 100%, $E$13) + CHOOSE(CONTROL!$C$28, 0.0021, 0)</f>
        <v>43.339799999999997</v>
      </c>
      <c r="E345" s="4">
        <f>212.382064470887 * CHOOSE(CONTROL!$C$9, $C$13, 100%, $E$13) + CHOOSE(CONTROL!$C$28, 0.0021, 0)</f>
        <v>212.38416447088701</v>
      </c>
    </row>
    <row r="346" spans="1:5" ht="15">
      <c r="A346" s="13">
        <v>51682</v>
      </c>
      <c r="B346" s="4">
        <f>33.1072 * CHOOSE(CONTROL!$C$9, $C$13, 100%, $E$13) + CHOOSE(CONTROL!$C$28, 0.0272, 0)</f>
        <v>33.134399999999999</v>
      </c>
      <c r="C346" s="4">
        <f>32.7439 * CHOOSE(CONTROL!$C$9, $C$13, 100%, $E$13) + CHOOSE(CONTROL!$C$28, 0.0272, 0)</f>
        <v>32.771099999999997</v>
      </c>
      <c r="D346" s="4">
        <f>43.7206 * CHOOSE(CONTROL!$C$9, $C$13, 100%, $E$13) + CHOOSE(CONTROL!$C$28, 0.0021, 0)</f>
        <v>43.722699999999996</v>
      </c>
      <c r="E346" s="4">
        <f>213.054070258652 * CHOOSE(CONTROL!$C$9, $C$13, 100%, $E$13) + CHOOSE(CONTROL!$C$28, 0.0021, 0)</f>
        <v>213.056170258652</v>
      </c>
    </row>
    <row r="347" spans="1:5" ht="15">
      <c r="A347" s="13">
        <v>51713</v>
      </c>
      <c r="B347" s="4">
        <f>33.0969 * CHOOSE(CONTROL!$C$9, $C$13, 100%, $E$13) + CHOOSE(CONTROL!$C$28, 0.0272, 0)</f>
        <v>33.124099999999999</v>
      </c>
      <c r="C347" s="4">
        <f>32.7336 * CHOOSE(CONTROL!$C$9, $C$13, 100%, $E$13) + CHOOSE(CONTROL!$C$28, 0.0272, 0)</f>
        <v>32.760800000000003</v>
      </c>
      <c r="D347" s="4">
        <f>44.4114 * CHOOSE(CONTROL!$C$9, $C$13, 100%, $E$13) + CHOOSE(CONTROL!$C$28, 0.0021, 0)</f>
        <v>44.413499999999999</v>
      </c>
      <c r="E347" s="4">
        <f>212.98630496913 * CHOOSE(CONTROL!$C$9, $C$13, 100%, $E$13) + CHOOSE(CONTROL!$C$28, 0.0021, 0)</f>
        <v>212.98840496913002</v>
      </c>
    </row>
    <row r="348" spans="1:5" ht="15">
      <c r="A348" s="13">
        <v>51744</v>
      </c>
      <c r="B348" s="4">
        <f>33.8708 * CHOOSE(CONTROL!$C$9, $C$13, 100%, $E$13) + CHOOSE(CONTROL!$C$28, 0.0272, 0)</f>
        <v>33.898000000000003</v>
      </c>
      <c r="C348" s="4">
        <f>33.5075 * CHOOSE(CONTROL!$C$9, $C$13, 100%, $E$13) + CHOOSE(CONTROL!$C$28, 0.0272, 0)</f>
        <v>33.534700000000001</v>
      </c>
      <c r="D348" s="4">
        <f>43.9552 * CHOOSE(CONTROL!$C$9, $C$13, 100%, $E$13) + CHOOSE(CONTROL!$C$28, 0.0021, 0)</f>
        <v>43.957299999999996</v>
      </c>
      <c r="E348" s="4">
        <f>218.085643005696 * CHOOSE(CONTROL!$C$9, $C$13, 100%, $E$13) + CHOOSE(CONTROL!$C$28, 0.0021, 0)</f>
        <v>218.08774300569601</v>
      </c>
    </row>
    <row r="349" spans="1:5" ht="15">
      <c r="A349" s="13">
        <v>51774</v>
      </c>
      <c r="B349" s="4">
        <f>32.5518 * CHOOSE(CONTROL!$C$9, $C$13, 100%, $E$13) + CHOOSE(CONTROL!$C$28, 0.0272, 0)</f>
        <v>32.579000000000001</v>
      </c>
      <c r="C349" s="4">
        <f>32.1885 * CHOOSE(CONTROL!$C$9, $C$13, 100%, $E$13) + CHOOSE(CONTROL!$C$28, 0.0272, 0)</f>
        <v>32.215699999999998</v>
      </c>
      <c r="D349" s="4">
        <f>43.7396 * CHOOSE(CONTROL!$C$9, $C$13, 100%, $E$13) + CHOOSE(CONTROL!$C$28, 0.0021, 0)</f>
        <v>43.741700000000002</v>
      </c>
      <c r="E349" s="4">
        <f>209.394744624439 * CHOOSE(CONTROL!$C$9, $C$13, 100%, $E$13) + CHOOSE(CONTROL!$C$28, 0.0021, 0)</f>
        <v>209.39684462443901</v>
      </c>
    </row>
    <row r="350" spans="1:5" ht="15">
      <c r="A350" s="13">
        <v>51805</v>
      </c>
      <c r="B350" s="4">
        <f>31.496 * CHOOSE(CONTROL!$C$9, $C$13, 100%, $E$13) + CHOOSE(CONTROL!$C$28, 0.0272, 0)</f>
        <v>31.523199999999999</v>
      </c>
      <c r="C350" s="4">
        <f>31.1327 * CHOOSE(CONTROL!$C$9, $C$13, 100%, $E$13) + CHOOSE(CONTROL!$C$28, 0.0272, 0)</f>
        <v>31.1599</v>
      </c>
      <c r="D350" s="4">
        <f>43.1624 * CHOOSE(CONTROL!$C$9, $C$13, 100%, $E$13) + CHOOSE(CONTROL!$C$28, 0.0021, 0)</f>
        <v>43.164499999999997</v>
      </c>
      <c r="E350" s="4">
        <f>202.437508233465 * CHOOSE(CONTROL!$C$9, $C$13, 100%, $E$13) + CHOOSE(CONTROL!$C$28, 0.0021, 0)</f>
        <v>202.43960823346501</v>
      </c>
    </row>
    <row r="351" spans="1:5" ht="15">
      <c r="A351" s="13">
        <v>51835</v>
      </c>
      <c r="B351" s="4">
        <f>30.8159 * CHOOSE(CONTROL!$C$9, $C$13, 100%, $E$13) + CHOOSE(CONTROL!$C$28, 0.0272, 0)</f>
        <v>30.8431</v>
      </c>
      <c r="C351" s="4">
        <f>30.4526 * CHOOSE(CONTROL!$C$9, $C$13, 100%, $E$13) + CHOOSE(CONTROL!$C$28, 0.0272, 0)</f>
        <v>30.479800000000001</v>
      </c>
      <c r="D351" s="4">
        <f>42.964 * CHOOSE(CONTROL!$C$9, $C$13, 100%, $E$13) + CHOOSE(CONTROL!$C$28, 0.0021, 0)</f>
        <v>42.966099999999997</v>
      </c>
      <c r="E351" s="4">
        <f>197.956528463791 * CHOOSE(CONTROL!$C$9, $C$13, 100%, $E$13) + CHOOSE(CONTROL!$C$28, 0.0021, 0)</f>
        <v>197.958628463791</v>
      </c>
    </row>
    <row r="352" spans="1:5" ht="15">
      <c r="A352" s="13">
        <v>51866</v>
      </c>
      <c r="B352" s="4">
        <f>30.3454 * CHOOSE(CONTROL!$C$9, $C$13, 100%, $E$13) + CHOOSE(CONTROL!$C$28, 0.0272, 0)</f>
        <v>30.372600000000002</v>
      </c>
      <c r="C352" s="4">
        <f>29.9821 * CHOOSE(CONTROL!$C$9, $C$13, 100%, $E$13) + CHOOSE(CONTROL!$C$28, 0.0272, 0)</f>
        <v>30.0093</v>
      </c>
      <c r="D352" s="4">
        <f>41.5031 * CHOOSE(CONTROL!$C$9, $C$13, 100%, $E$13) + CHOOSE(CONTROL!$C$28, 0.0021, 0)</f>
        <v>41.505200000000002</v>
      </c>
      <c r="E352" s="4">
        <f>194.856266468138 * CHOOSE(CONTROL!$C$9, $C$13, 100%, $E$13) + CHOOSE(CONTROL!$C$28, 0.0021, 0)</f>
        <v>194.858366468138</v>
      </c>
    </row>
    <row r="353" spans="1:5" ht="15">
      <c r="A353" s="13">
        <v>51897</v>
      </c>
      <c r="B353" s="4">
        <f>29.0581 * CHOOSE(CONTROL!$C$9, $C$13, 100%, $E$13) + CHOOSE(CONTROL!$C$28, 0.0272, 0)</f>
        <v>29.0853</v>
      </c>
      <c r="C353" s="4">
        <f>28.6948 * CHOOSE(CONTROL!$C$9, $C$13, 100%, $E$13) + CHOOSE(CONTROL!$C$28, 0.0272, 0)</f>
        <v>28.722000000000001</v>
      </c>
      <c r="D353" s="4">
        <f>39.8939 * CHOOSE(CONTROL!$C$9, $C$13, 100%, $E$13) + CHOOSE(CONTROL!$C$28, 0.0021, 0)</f>
        <v>39.896000000000001</v>
      </c>
      <c r="E353" s="4">
        <f>186.739711188815 * CHOOSE(CONTROL!$C$9, $C$13, 100%, $E$13) + CHOOSE(CONTROL!$C$28, 0.0021, 0)</f>
        <v>186.74181118881501</v>
      </c>
    </row>
    <row r="354" spans="1:5" ht="15">
      <c r="A354" s="13">
        <v>51925</v>
      </c>
      <c r="B354" s="4">
        <f>29.7297 * CHOOSE(CONTROL!$C$9, $C$13, 100%, $E$13) + CHOOSE(CONTROL!$C$28, 0.0272, 0)</f>
        <v>29.756900000000002</v>
      </c>
      <c r="C354" s="4">
        <f>29.3664 * CHOOSE(CONTROL!$C$9, $C$13, 100%, $E$13) + CHOOSE(CONTROL!$C$28, 0.0272, 0)</f>
        <v>29.393599999999999</v>
      </c>
      <c r="D354" s="4">
        <f>41.2366 * CHOOSE(CONTROL!$C$9, $C$13, 100%, $E$13) + CHOOSE(CONTROL!$C$28, 0.0021, 0)</f>
        <v>41.238700000000001</v>
      </c>
      <c r="E354" s="4">
        <f>191.173647856728 * CHOOSE(CONTROL!$C$9, $C$13, 100%, $E$13) + CHOOSE(CONTROL!$C$28, 0.0021, 0)</f>
        <v>191.17574785672801</v>
      </c>
    </row>
    <row r="355" spans="1:5" ht="15">
      <c r="A355" s="13">
        <v>51956</v>
      </c>
      <c r="B355" s="4">
        <f>31.4933 * CHOOSE(CONTROL!$C$9, $C$13, 100%, $E$13) + CHOOSE(CONTROL!$C$28, 0.0272, 0)</f>
        <v>31.520500000000002</v>
      </c>
      <c r="C355" s="4">
        <f>31.13 * CHOOSE(CONTROL!$C$9, $C$13, 100%, $E$13) + CHOOSE(CONTROL!$C$28, 0.0272, 0)</f>
        <v>31.1572</v>
      </c>
      <c r="D355" s="4">
        <f>43.3384 * CHOOSE(CONTROL!$C$9, $C$13, 100%, $E$13) + CHOOSE(CONTROL!$C$28, 0.0021, 0)</f>
        <v>43.340499999999999</v>
      </c>
      <c r="E355" s="4">
        <f>202.817401180373 * CHOOSE(CONTROL!$C$9, $C$13, 100%, $E$13) + CHOOSE(CONTROL!$C$28, 0.0021, 0)</f>
        <v>202.81950118037301</v>
      </c>
    </row>
    <row r="356" spans="1:5" ht="15">
      <c r="A356" s="13">
        <v>51986</v>
      </c>
      <c r="B356" s="4">
        <f>32.7464 * CHOOSE(CONTROL!$C$9, $C$13, 100%, $E$13) + CHOOSE(CONTROL!$C$28, 0.0272, 0)</f>
        <v>32.773600000000002</v>
      </c>
      <c r="C356" s="4">
        <f>32.3831 * CHOOSE(CONTROL!$C$9, $C$13, 100%, $E$13) + CHOOSE(CONTROL!$C$28, 0.0272, 0)</f>
        <v>32.410299999999999</v>
      </c>
      <c r="D356" s="4">
        <f>44.5491 * CHOOSE(CONTROL!$C$9, $C$13, 100%, $E$13) + CHOOSE(CONTROL!$C$28, 0.0021, 0)</f>
        <v>44.551200000000001</v>
      </c>
      <c r="E356" s="4">
        <f>211.090443090239 * CHOOSE(CONTROL!$C$9, $C$13, 100%, $E$13) + CHOOSE(CONTROL!$C$28, 0.0021, 0)</f>
        <v>211.09254309023902</v>
      </c>
    </row>
    <row r="357" spans="1:5" ht="15">
      <c r="A357" s="13">
        <v>52017</v>
      </c>
      <c r="B357" s="4">
        <f>33.512 * CHOOSE(CONTROL!$C$9, $C$13, 100%, $E$13) + CHOOSE(CONTROL!$C$28, 0.0272, 0)</f>
        <v>33.539200000000001</v>
      </c>
      <c r="C357" s="4">
        <f>33.1487 * CHOOSE(CONTROL!$C$9, $C$13, 100%, $E$13) + CHOOSE(CONTROL!$C$28, 0.0272, 0)</f>
        <v>33.175899999999999</v>
      </c>
      <c r="D357" s="4">
        <f>44.0707 * CHOOSE(CONTROL!$C$9, $C$13, 100%, $E$13) + CHOOSE(CONTROL!$C$28, 0.0021, 0)</f>
        <v>44.072800000000001</v>
      </c>
      <c r="E357" s="4">
        <f>216.145073420024 * CHOOSE(CONTROL!$C$9, $C$13, 100%, $E$13) + CHOOSE(CONTROL!$C$28, 0.0021, 0)</f>
        <v>216.14717342002402</v>
      </c>
    </row>
    <row r="358" spans="1:5" ht="15">
      <c r="A358" s="13">
        <v>52047</v>
      </c>
      <c r="B358" s="4">
        <f>33.6156 * CHOOSE(CONTROL!$C$9, $C$13, 100%, $E$13) + CHOOSE(CONTROL!$C$28, 0.0272, 0)</f>
        <v>33.642800000000001</v>
      </c>
      <c r="C358" s="4">
        <f>33.2523 * CHOOSE(CONTROL!$C$9, $C$13, 100%, $E$13) + CHOOSE(CONTROL!$C$28, 0.0272, 0)</f>
        <v>33.279499999999999</v>
      </c>
      <c r="D358" s="4">
        <f>44.4603 * CHOOSE(CONTROL!$C$9, $C$13, 100%, $E$13) + CHOOSE(CONTROL!$C$28, 0.0021, 0)</f>
        <v>44.462399999999995</v>
      </c>
      <c r="E358" s="4">
        <f>216.828985880791 * CHOOSE(CONTROL!$C$9, $C$13, 100%, $E$13) + CHOOSE(CONTROL!$C$28, 0.0021, 0)</f>
        <v>216.83108588079102</v>
      </c>
    </row>
    <row r="359" spans="1:5" ht="15">
      <c r="A359" s="13">
        <v>52078</v>
      </c>
      <c r="B359" s="4">
        <f>33.6052 * CHOOSE(CONTROL!$C$9, $C$13, 100%, $E$13) + CHOOSE(CONTROL!$C$28, 0.0272, 0)</f>
        <v>33.632400000000004</v>
      </c>
      <c r="C359" s="4">
        <f>33.2419 * CHOOSE(CONTROL!$C$9, $C$13, 100%, $E$13) + CHOOSE(CONTROL!$C$28, 0.0272, 0)</f>
        <v>33.269100000000002</v>
      </c>
      <c r="D359" s="4">
        <f>45.1634 * CHOOSE(CONTROL!$C$9, $C$13, 100%, $E$13) + CHOOSE(CONTROL!$C$28, 0.0021, 0)</f>
        <v>45.165500000000002</v>
      </c>
      <c r="E359" s="4">
        <f>216.760019918361 * CHOOSE(CONTROL!$C$9, $C$13, 100%, $E$13) + CHOOSE(CONTROL!$C$28, 0.0021, 0)</f>
        <v>216.76211991836101</v>
      </c>
    </row>
    <row r="360" spans="1:5" ht="15">
      <c r="A360" s="13">
        <v>52109</v>
      </c>
      <c r="B360" s="4">
        <f>34.3912 * CHOOSE(CONTROL!$C$9, $C$13, 100%, $E$13) + CHOOSE(CONTROL!$C$28, 0.0272, 0)</f>
        <v>34.418399999999998</v>
      </c>
      <c r="C360" s="4">
        <f>34.0279 * CHOOSE(CONTROL!$C$9, $C$13, 100%, $E$13) + CHOOSE(CONTROL!$C$28, 0.0272, 0)</f>
        <v>34.055100000000003</v>
      </c>
      <c r="D360" s="4">
        <f>44.6991 * CHOOSE(CONTROL!$C$9, $C$13, 100%, $E$13) + CHOOSE(CONTROL!$C$28, 0.0021, 0)</f>
        <v>44.7012</v>
      </c>
      <c r="E360" s="4">
        <f>221.949708591239 * CHOOSE(CONTROL!$C$9, $C$13, 100%, $E$13) + CHOOSE(CONTROL!$C$28, 0.0021, 0)</f>
        <v>221.951808591239</v>
      </c>
    </row>
    <row r="361" spans="1:5" ht="15">
      <c r="A361" s="13">
        <v>52139</v>
      </c>
      <c r="B361" s="4">
        <f>33.0515 * CHOOSE(CONTROL!$C$9, $C$13, 100%, $E$13) + CHOOSE(CONTROL!$C$28, 0.0272, 0)</f>
        <v>33.078699999999998</v>
      </c>
      <c r="C361" s="4">
        <f>32.6882 * CHOOSE(CONTROL!$C$9, $C$13, 100%, $E$13) + CHOOSE(CONTROL!$C$28, 0.0272, 0)</f>
        <v>32.715400000000002</v>
      </c>
      <c r="D361" s="4">
        <f>44.4797 * CHOOSE(CONTROL!$C$9, $C$13, 100%, $E$13) + CHOOSE(CONTROL!$C$28, 0.0021, 0)</f>
        <v>44.4818</v>
      </c>
      <c r="E361" s="4">
        <f>213.104823909556 * CHOOSE(CONTROL!$C$9, $C$13, 100%, $E$13) + CHOOSE(CONTROL!$C$28, 0.0021, 0)</f>
        <v>213.106923909556</v>
      </c>
    </row>
    <row r="362" spans="1:5" ht="15">
      <c r="A362" s="13">
        <v>52170</v>
      </c>
      <c r="B362" s="4">
        <f>31.9791 * CHOOSE(CONTROL!$C$9, $C$13, 100%, $E$13) + CHOOSE(CONTROL!$C$28, 0.0272, 0)</f>
        <v>32.006299999999996</v>
      </c>
      <c r="C362" s="4">
        <f>31.6158 * CHOOSE(CONTROL!$C$9, $C$13, 100%, $E$13) + CHOOSE(CONTROL!$C$28, 0.0272, 0)</f>
        <v>31.643000000000001</v>
      </c>
      <c r="D362" s="4">
        <f>43.8923 * CHOOSE(CONTROL!$C$9, $C$13, 100%, $E$13) + CHOOSE(CONTROL!$C$28, 0.0021, 0)</f>
        <v>43.894399999999997</v>
      </c>
      <c r="E362" s="4">
        <f>206.024318433381 * CHOOSE(CONTROL!$C$9, $C$13, 100%, $E$13) + CHOOSE(CONTROL!$C$28, 0.0021, 0)</f>
        <v>206.02641843338102</v>
      </c>
    </row>
    <row r="363" spans="1:5" ht="15">
      <c r="A363" s="13">
        <v>52200</v>
      </c>
      <c r="B363" s="4">
        <f>31.2883 * CHOOSE(CONTROL!$C$9, $C$13, 100%, $E$13) + CHOOSE(CONTROL!$C$28, 0.0272, 0)</f>
        <v>31.3155</v>
      </c>
      <c r="C363" s="4">
        <f>30.925 * CHOOSE(CONTROL!$C$9, $C$13, 100%, $E$13) + CHOOSE(CONTROL!$C$28, 0.0272, 0)</f>
        <v>30.952200000000001</v>
      </c>
      <c r="D363" s="4">
        <f>43.6904 * CHOOSE(CONTROL!$C$9, $C$13, 100%, $E$13) + CHOOSE(CONTROL!$C$28, 0.0021, 0)</f>
        <v>43.692499999999995</v>
      </c>
      <c r="E363" s="4">
        <f>201.463944167679 * CHOOSE(CONTROL!$C$9, $C$13, 100%, $E$13) + CHOOSE(CONTROL!$C$28, 0.0021, 0)</f>
        <v>201.466044167679</v>
      </c>
    </row>
    <row r="364" spans="1:5" ht="15">
      <c r="A364" s="13">
        <v>52231</v>
      </c>
      <c r="B364" s="4">
        <f>30.8104 * CHOOSE(CONTROL!$C$9, $C$13, 100%, $E$13) + CHOOSE(CONTROL!$C$28, 0.0272, 0)</f>
        <v>30.837600000000002</v>
      </c>
      <c r="C364" s="4">
        <f>30.4471 * CHOOSE(CONTROL!$C$9, $C$13, 100%, $E$13) + CHOOSE(CONTROL!$C$28, 0.0272, 0)</f>
        <v>30.474299999999999</v>
      </c>
      <c r="D364" s="4">
        <f>42.2037 * CHOOSE(CONTROL!$C$9, $C$13, 100%, $E$13) + CHOOSE(CONTROL!$C$28, 0.0021, 0)</f>
        <v>42.205799999999996</v>
      </c>
      <c r="E364" s="4">
        <f>198.308751386494 * CHOOSE(CONTROL!$C$9, $C$13, 100%, $E$13) + CHOOSE(CONTROL!$C$28, 0.0021, 0)</f>
        <v>198.31085138649402</v>
      </c>
    </row>
    <row r="365" spans="1:5" ht="15">
      <c r="A365" s="13">
        <v>52262</v>
      </c>
      <c r="B365" s="4">
        <f>29.5029 * CHOOSE(CONTROL!$C$9, $C$13, 100%, $E$13) + CHOOSE(CONTROL!$C$28, 0.0272, 0)</f>
        <v>29.530100000000001</v>
      </c>
      <c r="C365" s="4">
        <f>29.1396 * CHOOSE(CONTROL!$C$9, $C$13, 100%, $E$13) + CHOOSE(CONTROL!$C$28, 0.0272, 0)</f>
        <v>29.166800000000002</v>
      </c>
      <c r="D365" s="4">
        <f>40.566 * CHOOSE(CONTROL!$C$9, $C$13, 100%, $E$13) + CHOOSE(CONTROL!$C$28, 0.0021, 0)</f>
        <v>40.568100000000001</v>
      </c>
      <c r="E365" s="4">
        <f>190.048386081459 * CHOOSE(CONTROL!$C$9, $C$13, 100%, $E$13) + CHOOSE(CONTROL!$C$28, 0.0021, 0)</f>
        <v>190.05048608145901</v>
      </c>
    </row>
    <row r="366" spans="1:5" ht="15">
      <c r="A366" s="13">
        <v>52290</v>
      </c>
      <c r="B366" s="4">
        <f>30.185 * CHOOSE(CONTROL!$C$9, $C$13, 100%, $E$13) + CHOOSE(CONTROL!$C$28, 0.0272, 0)</f>
        <v>30.212199999999999</v>
      </c>
      <c r="C366" s="4">
        <f>29.8217 * CHOOSE(CONTROL!$C$9, $C$13, 100%, $E$13) + CHOOSE(CONTROL!$C$28, 0.0272, 0)</f>
        <v>29.8489</v>
      </c>
      <c r="D366" s="4">
        <f>41.9324 * CHOOSE(CONTROL!$C$9, $C$13, 100%, $E$13) + CHOOSE(CONTROL!$C$28, 0.0021, 0)</f>
        <v>41.9345</v>
      </c>
      <c r="E366" s="4">
        <f>194.560883730512 * CHOOSE(CONTROL!$C$9, $C$13, 100%, $E$13) + CHOOSE(CONTROL!$C$28, 0.0021, 0)</f>
        <v>194.562983730512</v>
      </c>
    </row>
    <row r="367" spans="1:5" ht="15">
      <c r="A367" s="13">
        <v>52321</v>
      </c>
      <c r="B367" s="4">
        <f>31.9764 * CHOOSE(CONTROL!$C$9, $C$13, 100%, $E$13) + CHOOSE(CONTROL!$C$28, 0.0272, 0)</f>
        <v>32.003599999999999</v>
      </c>
      <c r="C367" s="4">
        <f>31.6131 * CHOOSE(CONTROL!$C$9, $C$13, 100%, $E$13) + CHOOSE(CONTROL!$C$28, 0.0272, 0)</f>
        <v>31.6403</v>
      </c>
      <c r="D367" s="4">
        <f>44.0714 * CHOOSE(CONTROL!$C$9, $C$13, 100%, $E$13) + CHOOSE(CONTROL!$C$28, 0.0021, 0)</f>
        <v>44.073499999999996</v>
      </c>
      <c r="E367" s="4">
        <f>206.410942365613 * CHOOSE(CONTROL!$C$9, $C$13, 100%, $E$13) + CHOOSE(CONTROL!$C$28, 0.0021, 0)</f>
        <v>206.41304236561302</v>
      </c>
    </row>
    <row r="368" spans="1:5" ht="15">
      <c r="A368" s="13">
        <v>52351</v>
      </c>
      <c r="B368" s="4">
        <f>33.2492 * CHOOSE(CONTROL!$C$9, $C$13, 100%, $E$13) + CHOOSE(CONTROL!$C$28, 0.0272, 0)</f>
        <v>33.276400000000002</v>
      </c>
      <c r="C368" s="4">
        <f>32.8859 * CHOOSE(CONTROL!$C$9, $C$13, 100%, $E$13) + CHOOSE(CONTROL!$C$28, 0.0272, 0)</f>
        <v>32.9131</v>
      </c>
      <c r="D368" s="4">
        <f>45.3035 * CHOOSE(CONTROL!$C$9, $C$13, 100%, $E$13) + CHOOSE(CONTROL!$C$28, 0.0021, 0)</f>
        <v>45.305599999999998</v>
      </c>
      <c r="E368" s="4">
        <f>214.830566948648 * CHOOSE(CONTROL!$C$9, $C$13, 100%, $E$13) + CHOOSE(CONTROL!$C$28, 0.0021, 0)</f>
        <v>214.83266694864801</v>
      </c>
    </row>
    <row r="369" spans="1:5" ht="15">
      <c r="A369" s="13">
        <v>52382</v>
      </c>
      <c r="B369" s="4">
        <f>34.0268 * CHOOSE(CONTROL!$C$9, $C$13, 100%, $E$13) + CHOOSE(CONTROL!$C$28, 0.0272, 0)</f>
        <v>34.054000000000002</v>
      </c>
      <c r="C369" s="4">
        <f>33.6635 * CHOOSE(CONTROL!$C$9, $C$13, 100%, $E$13) + CHOOSE(CONTROL!$C$28, 0.0272, 0)</f>
        <v>33.6907</v>
      </c>
      <c r="D369" s="4">
        <f>44.8166 * CHOOSE(CONTROL!$C$9, $C$13, 100%, $E$13) + CHOOSE(CONTROL!$C$28, 0.0021, 0)</f>
        <v>44.8187</v>
      </c>
      <c r="E369" s="4">
        <f>219.974755778644 * CHOOSE(CONTROL!$C$9, $C$13, 100%, $E$13) + CHOOSE(CONTROL!$C$28, 0.0021, 0)</f>
        <v>219.97685577864402</v>
      </c>
    </row>
    <row r="370" spans="1:5" ht="15">
      <c r="A370" s="13">
        <v>52412</v>
      </c>
      <c r="B370" s="4">
        <f>34.132 * CHOOSE(CONTROL!$C$9, $C$13, 100%, $E$13) + CHOOSE(CONTROL!$C$28, 0.0272, 0)</f>
        <v>34.159199999999998</v>
      </c>
      <c r="C370" s="4">
        <f>33.7688 * CHOOSE(CONTROL!$C$9, $C$13, 100%, $E$13) + CHOOSE(CONTROL!$C$28, 0.0272, 0)</f>
        <v>33.795999999999999</v>
      </c>
      <c r="D370" s="4">
        <f>45.2131 * CHOOSE(CONTROL!$C$9, $C$13, 100%, $E$13) + CHOOSE(CONTROL!$C$28, 0.0021, 0)</f>
        <v>45.215199999999996</v>
      </c>
      <c r="E370" s="4">
        <f>220.670785876165 * CHOOSE(CONTROL!$C$9, $C$13, 100%, $E$13) + CHOOSE(CONTROL!$C$28, 0.0021, 0)</f>
        <v>220.67288587616503</v>
      </c>
    </row>
    <row r="371" spans="1:5" ht="15">
      <c r="A371" s="13">
        <v>52443</v>
      </c>
      <c r="B371" s="4">
        <f>34.1214 * CHOOSE(CONTROL!$C$9, $C$13, 100%, $E$13) + CHOOSE(CONTROL!$C$28, 0.0272, 0)</f>
        <v>34.148600000000002</v>
      </c>
      <c r="C371" s="4">
        <f>33.7581 * CHOOSE(CONTROL!$C$9, $C$13, 100%, $E$13) + CHOOSE(CONTROL!$C$28, 0.0272, 0)</f>
        <v>33.785299999999999</v>
      </c>
      <c r="D371" s="4">
        <f>45.9286 * CHOOSE(CONTROL!$C$9, $C$13, 100%, $E$13) + CHOOSE(CONTROL!$C$28, 0.0021, 0)</f>
        <v>45.930700000000002</v>
      </c>
      <c r="E371" s="4">
        <f>220.600597967171 * CHOOSE(CONTROL!$C$9, $C$13, 100%, $E$13) + CHOOSE(CONTROL!$C$28, 0.0021, 0)</f>
        <v>220.60269796717103</v>
      </c>
    </row>
    <row r="372" spans="1:5" ht="15">
      <c r="A372" s="13">
        <v>52474</v>
      </c>
      <c r="B372" s="4">
        <f>34.9199 * CHOOSE(CONTROL!$C$9, $C$13, 100%, $E$13) + CHOOSE(CONTROL!$C$28, 0.0272, 0)</f>
        <v>34.947099999999999</v>
      </c>
      <c r="C372" s="4">
        <f>34.5566 * CHOOSE(CONTROL!$C$9, $C$13, 100%, $E$13) + CHOOSE(CONTROL!$C$28, 0.0272, 0)</f>
        <v>34.583800000000004</v>
      </c>
      <c r="D372" s="4">
        <f>45.4561 * CHOOSE(CONTROL!$C$9, $C$13, 100%, $E$13) + CHOOSE(CONTROL!$C$28, 0.0021, 0)</f>
        <v>45.458199999999998</v>
      </c>
      <c r="E372" s="4">
        <f>225.882238118947 * CHOOSE(CONTROL!$C$9, $C$13, 100%, $E$13) + CHOOSE(CONTROL!$C$28, 0.0021, 0)</f>
        <v>225.884338118947</v>
      </c>
    </row>
    <row r="373" spans="1:5" ht="15">
      <c r="A373" s="13">
        <v>52504</v>
      </c>
      <c r="B373" s="4">
        <f>33.5591 * CHOOSE(CONTROL!$C$9, $C$13, 100%, $E$13) + CHOOSE(CONTROL!$C$28, 0.0272, 0)</f>
        <v>33.586300000000001</v>
      </c>
      <c r="C373" s="4">
        <f>33.1958 * CHOOSE(CONTROL!$C$9, $C$13, 100%, $E$13) + CHOOSE(CONTROL!$C$28, 0.0272, 0)</f>
        <v>33.222999999999999</v>
      </c>
      <c r="D373" s="4">
        <f>45.2329 * CHOOSE(CONTROL!$C$9, $C$13, 100%, $E$13) + CHOOSE(CONTROL!$C$28, 0.0021, 0)</f>
        <v>45.234999999999999</v>
      </c>
      <c r="E373" s="4">
        <f>216.880638790506 * CHOOSE(CONTROL!$C$9, $C$13, 100%, $E$13) + CHOOSE(CONTROL!$C$28, 0.0021, 0)</f>
        <v>216.88273879050601</v>
      </c>
    </row>
    <row r="374" spans="1:5" ht="15">
      <c r="A374" s="13">
        <v>52535</v>
      </c>
      <c r="B374" s="4">
        <f>32.4698 * CHOOSE(CONTROL!$C$9, $C$13, 100%, $E$13) + CHOOSE(CONTROL!$C$28, 0.0272, 0)</f>
        <v>32.497</v>
      </c>
      <c r="C374" s="4">
        <f>32.1065 * CHOOSE(CONTROL!$C$9, $C$13, 100%, $E$13) + CHOOSE(CONTROL!$C$28, 0.0272, 0)</f>
        <v>32.133699999999997</v>
      </c>
      <c r="D374" s="4">
        <f>44.6351 * CHOOSE(CONTROL!$C$9, $C$13, 100%, $E$13) + CHOOSE(CONTROL!$C$28, 0.0021, 0)</f>
        <v>44.6372</v>
      </c>
      <c r="E374" s="4">
        <f>209.67468013382 * CHOOSE(CONTROL!$C$9, $C$13, 100%, $E$13) + CHOOSE(CONTROL!$C$28, 0.0021, 0)</f>
        <v>209.67678013382002</v>
      </c>
    </row>
    <row r="375" spans="1:5" ht="15">
      <c r="A375" s="13">
        <v>52565</v>
      </c>
      <c r="B375" s="4">
        <f>31.7682 * CHOOSE(CONTROL!$C$9, $C$13, 100%, $E$13) + CHOOSE(CONTROL!$C$28, 0.0272, 0)</f>
        <v>31.795400000000001</v>
      </c>
      <c r="C375" s="4">
        <f>31.4049 * CHOOSE(CONTROL!$C$9, $C$13, 100%, $E$13) + CHOOSE(CONTROL!$C$28, 0.0272, 0)</f>
        <v>31.432100000000002</v>
      </c>
      <c r="D375" s="4">
        <f>44.4296 * CHOOSE(CONTROL!$C$9, $C$13, 100%, $E$13) + CHOOSE(CONTROL!$C$28, 0.0021, 0)</f>
        <v>44.431699999999999</v>
      </c>
      <c r="E375" s="4">
        <f>205.033504651612 * CHOOSE(CONTROL!$C$9, $C$13, 100%, $E$13) + CHOOSE(CONTROL!$C$28, 0.0021, 0)</f>
        <v>205.035604651612</v>
      </c>
    </row>
    <row r="376" spans="1:5" ht="15">
      <c r="A376" s="13">
        <v>52596</v>
      </c>
      <c r="B376" s="4">
        <f>31.2827 * CHOOSE(CONTROL!$C$9, $C$13, 100%, $E$13) + CHOOSE(CONTROL!$C$28, 0.0272, 0)</f>
        <v>31.309899999999999</v>
      </c>
      <c r="C376" s="4">
        <f>30.9195 * CHOOSE(CONTROL!$C$9, $C$13, 100%, $E$13) + CHOOSE(CONTROL!$C$28, 0.0272, 0)</f>
        <v>30.9467</v>
      </c>
      <c r="D376" s="4">
        <f>42.9167 * CHOOSE(CONTROL!$C$9, $C$13, 100%, $E$13) + CHOOSE(CONTROL!$C$28, 0.0021, 0)</f>
        <v>42.918799999999997</v>
      </c>
      <c r="E376" s="4">
        <f>201.822407815151 * CHOOSE(CONTROL!$C$9, $C$13, 100%, $E$13) + CHOOSE(CONTROL!$C$28, 0.0021, 0)</f>
        <v>201.82450781515101</v>
      </c>
    </row>
    <row r="377" spans="1:5" ht="15">
      <c r="A377" s="13">
        <v>52627</v>
      </c>
      <c r="B377" s="4">
        <f>29.9546 * CHOOSE(CONTROL!$C$9, $C$13, 100%, $E$13) + CHOOSE(CONTROL!$C$28, 0.0272, 0)</f>
        <v>29.9818</v>
      </c>
      <c r="C377" s="4">
        <f>29.5914 * CHOOSE(CONTROL!$C$9, $C$13, 100%, $E$13) + CHOOSE(CONTROL!$C$28, 0.0272, 0)</f>
        <v>29.618600000000001</v>
      </c>
      <c r="D377" s="4">
        <f>41.25 * CHOOSE(CONTROL!$C$9, $C$13, 100%, $E$13) + CHOOSE(CONTROL!$C$28, 0.0021, 0)</f>
        <v>41.252099999999999</v>
      </c>
      <c r="E377" s="4">
        <f>193.415684442435 * CHOOSE(CONTROL!$C$9, $C$13, 100%, $E$13) + CHOOSE(CONTROL!$C$28, 0.0021, 0)</f>
        <v>193.41778444243502</v>
      </c>
    </row>
    <row r="378" spans="1:5" ht="15">
      <c r="A378" s="13">
        <v>52655</v>
      </c>
      <c r="B378" s="4">
        <f>30.6475 * CHOOSE(CONTROL!$C$9, $C$13, 100%, $E$13) + CHOOSE(CONTROL!$C$28, 0.0272, 0)</f>
        <v>30.674700000000001</v>
      </c>
      <c r="C378" s="4">
        <f>30.2842 * CHOOSE(CONTROL!$C$9, $C$13, 100%, $E$13) + CHOOSE(CONTROL!$C$28, 0.0272, 0)</f>
        <v>30.311399999999999</v>
      </c>
      <c r="D378" s="4">
        <f>42.6406 * CHOOSE(CONTROL!$C$9, $C$13, 100%, $E$13) + CHOOSE(CONTROL!$C$28, 0.0021, 0)</f>
        <v>42.642699999999998</v>
      </c>
      <c r="E378" s="4">
        <f>198.008135024796 * CHOOSE(CONTROL!$C$9, $C$13, 100%, $E$13) + CHOOSE(CONTROL!$C$28, 0.0021, 0)</f>
        <v>198.010235024796</v>
      </c>
    </row>
    <row r="379" spans="1:5" ht="15">
      <c r="A379" s="13">
        <v>52687</v>
      </c>
      <c r="B379" s="4">
        <f>32.4671 * CHOOSE(CONTROL!$C$9, $C$13, 100%, $E$13) + CHOOSE(CONTROL!$C$28, 0.0272, 0)</f>
        <v>32.494300000000003</v>
      </c>
      <c r="C379" s="4">
        <f>32.1038 * CHOOSE(CONTROL!$C$9, $C$13, 100%, $E$13) + CHOOSE(CONTROL!$C$28, 0.0272, 0)</f>
        <v>32.131</v>
      </c>
      <c r="D379" s="4">
        <f>44.8173 * CHOOSE(CONTROL!$C$9, $C$13, 100%, $E$13) + CHOOSE(CONTROL!$C$28, 0.0021, 0)</f>
        <v>44.819400000000002</v>
      </c>
      <c r="E379" s="4">
        <f>210.068154311719 * CHOOSE(CONTROL!$C$9, $C$13, 100%, $E$13) + CHOOSE(CONTROL!$C$28, 0.0021, 0)</f>
        <v>210.07025431171903</v>
      </c>
    </row>
    <row r="380" spans="1:5" ht="15">
      <c r="A380" s="13">
        <v>52717</v>
      </c>
      <c r="B380" s="4">
        <f>33.7599 * CHOOSE(CONTROL!$C$9, $C$13, 100%, $E$13) + CHOOSE(CONTROL!$C$28, 0.0272, 0)</f>
        <v>33.787100000000002</v>
      </c>
      <c r="C380" s="4">
        <f>33.3966 * CHOOSE(CONTROL!$C$9, $C$13, 100%, $E$13) + CHOOSE(CONTROL!$C$28, 0.0272, 0)</f>
        <v>33.4238</v>
      </c>
      <c r="D380" s="4">
        <f>46.0712 * CHOOSE(CONTROL!$C$9, $C$13, 100%, $E$13) + CHOOSE(CONTROL!$C$28, 0.0021, 0)</f>
        <v>46.073299999999996</v>
      </c>
      <c r="E380" s="4">
        <f>218.636958735968 * CHOOSE(CONTROL!$C$9, $C$13, 100%, $E$13) + CHOOSE(CONTROL!$C$28, 0.0021, 0)</f>
        <v>218.63905873596801</v>
      </c>
    </row>
    <row r="381" spans="1:5" ht="15">
      <c r="A381" s="13">
        <v>52748</v>
      </c>
      <c r="B381" s="4">
        <f>34.5497 * CHOOSE(CONTROL!$C$9, $C$13, 100%, $E$13) + CHOOSE(CONTROL!$C$28, 0.0272, 0)</f>
        <v>34.576900000000002</v>
      </c>
      <c r="C381" s="4">
        <f>34.1864 * CHOOSE(CONTROL!$C$9, $C$13, 100%, $E$13) + CHOOSE(CONTROL!$C$28, 0.0272, 0)</f>
        <v>34.2136</v>
      </c>
      <c r="D381" s="4">
        <f>45.5757 * CHOOSE(CONTROL!$C$9, $C$13, 100%, $E$13) + CHOOSE(CONTROL!$C$28, 0.0021, 0)</f>
        <v>45.577799999999996</v>
      </c>
      <c r="E381" s="4">
        <f>223.872292873603 * CHOOSE(CONTROL!$C$9, $C$13, 100%, $E$13) + CHOOSE(CONTROL!$C$28, 0.0021, 0)</f>
        <v>223.874392873603</v>
      </c>
    </row>
    <row r="382" spans="1:5" ht="15">
      <c r="A382" s="13">
        <v>52778</v>
      </c>
      <c r="B382" s="4">
        <f>34.6566 * CHOOSE(CONTROL!$C$9, $C$13, 100%, $E$13) + CHOOSE(CONTROL!$C$28, 0.0272, 0)</f>
        <v>34.683799999999998</v>
      </c>
      <c r="C382" s="4">
        <f>34.2933 * CHOOSE(CONTROL!$C$9, $C$13, 100%, $E$13) + CHOOSE(CONTROL!$C$28, 0.0272, 0)</f>
        <v>34.320500000000003</v>
      </c>
      <c r="D382" s="4">
        <f>45.9792 * CHOOSE(CONTROL!$C$9, $C$13, 100%, $E$13) + CHOOSE(CONTROL!$C$28, 0.0021, 0)</f>
        <v>45.981299999999997</v>
      </c>
      <c r="E382" s="4">
        <f>224.580655309508 * CHOOSE(CONTROL!$C$9, $C$13, 100%, $E$13) + CHOOSE(CONTROL!$C$28, 0.0021, 0)</f>
        <v>224.582755309508</v>
      </c>
    </row>
    <row r="383" spans="1:5" ht="15">
      <c r="A383" s="13">
        <v>52809</v>
      </c>
      <c r="B383" s="4">
        <f>34.6458 * CHOOSE(CONTROL!$C$9, $C$13, 100%, $E$13) + CHOOSE(CONTROL!$C$28, 0.0272, 0)</f>
        <v>34.673000000000002</v>
      </c>
      <c r="C383" s="4">
        <f>34.2825 * CHOOSE(CONTROL!$C$9, $C$13, 100%, $E$13) + CHOOSE(CONTROL!$C$28, 0.0272, 0)</f>
        <v>34.309699999999999</v>
      </c>
      <c r="D383" s="4">
        <f>46.7074 * CHOOSE(CONTROL!$C$9, $C$13, 100%, $E$13) + CHOOSE(CONTROL!$C$28, 0.0021, 0)</f>
        <v>46.709499999999998</v>
      </c>
      <c r="E383" s="4">
        <f>224.509223803367 * CHOOSE(CONTROL!$C$9, $C$13, 100%, $E$13) + CHOOSE(CONTROL!$C$28, 0.0021, 0)</f>
        <v>224.51132380336702</v>
      </c>
    </row>
    <row r="384" spans="1:5" ht="15">
      <c r="A384" s="13">
        <v>52840</v>
      </c>
      <c r="B384" s="4">
        <f>35.4568 * CHOOSE(CONTROL!$C$9, $C$13, 100%, $E$13) + CHOOSE(CONTROL!$C$28, 0.0272, 0)</f>
        <v>35.484000000000002</v>
      </c>
      <c r="C384" s="4">
        <f>35.0935 * CHOOSE(CONTROL!$C$9, $C$13, 100%, $E$13) + CHOOSE(CONTROL!$C$28, 0.0272, 0)</f>
        <v>35.120699999999999</v>
      </c>
      <c r="D384" s="4">
        <f>46.2265 * CHOOSE(CONTROL!$C$9, $C$13, 100%, $E$13) + CHOOSE(CONTROL!$C$28, 0.0021, 0)</f>
        <v>46.2286</v>
      </c>
      <c r="E384" s="4">
        <f>229.88444464053 * CHOOSE(CONTROL!$C$9, $C$13, 100%, $E$13) + CHOOSE(CONTROL!$C$28, 0.0021, 0)</f>
        <v>229.88654464053002</v>
      </c>
    </row>
    <row r="385" spans="1:5" ht="15">
      <c r="A385" s="13">
        <v>52870</v>
      </c>
      <c r="B385" s="4">
        <f>34.0746 * CHOOSE(CONTROL!$C$9, $C$13, 100%, $E$13) + CHOOSE(CONTROL!$C$28, 0.0272, 0)</f>
        <v>34.101799999999997</v>
      </c>
      <c r="C385" s="4">
        <f>33.7114 * CHOOSE(CONTROL!$C$9, $C$13, 100%, $E$13) + CHOOSE(CONTROL!$C$28, 0.0272, 0)</f>
        <v>33.738599999999998</v>
      </c>
      <c r="D385" s="4">
        <f>45.9993 * CHOOSE(CONTROL!$C$9, $C$13, 100%, $E$13) + CHOOSE(CONTROL!$C$28, 0.0021, 0)</f>
        <v>46.001399999999997</v>
      </c>
      <c r="E385" s="4">
        <f>220.723353977857 * CHOOSE(CONTROL!$C$9, $C$13, 100%, $E$13) + CHOOSE(CONTROL!$C$28, 0.0021, 0)</f>
        <v>220.725453977857</v>
      </c>
    </row>
    <row r="386" spans="1:5" ht="15">
      <c r="A386" s="13">
        <v>52901</v>
      </c>
      <c r="B386" s="4">
        <f>32.9682 * CHOOSE(CONTROL!$C$9, $C$13, 100%, $E$13) + CHOOSE(CONTROL!$C$28, 0.0272, 0)</f>
        <v>32.995400000000004</v>
      </c>
      <c r="C386" s="4">
        <f>32.6049 * CHOOSE(CONTROL!$C$9, $C$13, 100%, $E$13) + CHOOSE(CONTROL!$C$28, 0.0272, 0)</f>
        <v>32.632100000000001</v>
      </c>
      <c r="D386" s="4">
        <f>45.391 * CHOOSE(CONTROL!$C$9, $C$13, 100%, $E$13) + CHOOSE(CONTROL!$C$28, 0.0021, 0)</f>
        <v>45.393099999999997</v>
      </c>
      <c r="E386" s="4">
        <f>213.389719347309 * CHOOSE(CONTROL!$C$9, $C$13, 100%, $E$13) + CHOOSE(CONTROL!$C$28, 0.0021, 0)</f>
        <v>213.39181934730902</v>
      </c>
    </row>
    <row r="387" spans="1:5" ht="15">
      <c r="A387" s="13">
        <v>52931</v>
      </c>
      <c r="B387" s="4">
        <f>32.2556 * CHOOSE(CONTROL!$C$9, $C$13, 100%, $E$13) + CHOOSE(CONTROL!$C$28, 0.0272, 0)</f>
        <v>32.282800000000002</v>
      </c>
      <c r="C387" s="4">
        <f>31.8923 * CHOOSE(CONTROL!$C$9, $C$13, 100%, $E$13) + CHOOSE(CONTROL!$C$28, 0.0272, 0)</f>
        <v>31.919499999999999</v>
      </c>
      <c r="D387" s="4">
        <f>45.1819 * CHOOSE(CONTROL!$C$9, $C$13, 100%, $E$13) + CHOOSE(CONTROL!$C$28, 0.0021, 0)</f>
        <v>45.183999999999997</v>
      </c>
      <c r="E387" s="4">
        <f>208.666311003688 * CHOOSE(CONTROL!$C$9, $C$13, 100%, $E$13) + CHOOSE(CONTROL!$C$28, 0.0021, 0)</f>
        <v>208.66841100368802</v>
      </c>
    </row>
    <row r="388" spans="1:5" ht="15">
      <c r="A388" s="13">
        <v>52962</v>
      </c>
      <c r="B388" s="4">
        <f>31.7625 * CHOOSE(CONTROL!$C$9, $C$13, 100%, $E$13) + CHOOSE(CONTROL!$C$28, 0.0272, 0)</f>
        <v>31.7897</v>
      </c>
      <c r="C388" s="4">
        <f>31.3992 * CHOOSE(CONTROL!$C$9, $C$13, 100%, $E$13) + CHOOSE(CONTROL!$C$28, 0.0272, 0)</f>
        <v>31.426400000000001</v>
      </c>
      <c r="D388" s="4">
        <f>43.6422 * CHOOSE(CONTROL!$C$9, $C$13, 100%, $E$13) + CHOOSE(CONTROL!$C$28, 0.0021, 0)</f>
        <v>43.644300000000001</v>
      </c>
      <c r="E388" s="4">
        <f>205.398319597706 * CHOOSE(CONTROL!$C$9, $C$13, 100%, $E$13) + CHOOSE(CONTROL!$C$28, 0.0021, 0)</f>
        <v>205.40041959770602</v>
      </c>
    </row>
    <row r="389" spans="1:5" ht="15">
      <c r="A389" s="13">
        <v>52993</v>
      </c>
      <c r="B389" s="4">
        <f>30.4135 * CHOOSE(CONTROL!$C$9, $C$13, 100%, $E$13) + CHOOSE(CONTROL!$C$28, 0.0272, 0)</f>
        <v>30.4407</v>
      </c>
      <c r="C389" s="4">
        <f>30.0502 * CHOOSE(CONTROL!$C$9, $C$13, 100%, $E$13) + CHOOSE(CONTROL!$C$28, 0.0272, 0)</f>
        <v>30.077400000000001</v>
      </c>
      <c r="D389" s="4">
        <f>41.9461 * CHOOSE(CONTROL!$C$9, $C$13, 100%, $E$13) + CHOOSE(CONTROL!$C$28, 0.0021, 0)</f>
        <v>41.9482</v>
      </c>
      <c r="E389" s="4">
        <f>196.842644968851 * CHOOSE(CONTROL!$C$9, $C$13, 100%, $E$13) + CHOOSE(CONTROL!$C$28, 0.0021, 0)</f>
        <v>196.84474496885102</v>
      </c>
    </row>
    <row r="390" spans="1:5" ht="15">
      <c r="A390" s="13">
        <v>53021</v>
      </c>
      <c r="B390" s="4">
        <f>31.1173 * CHOOSE(CONTROL!$C$9, $C$13, 100%, $E$13) + CHOOSE(CONTROL!$C$28, 0.0272, 0)</f>
        <v>31.144500000000001</v>
      </c>
      <c r="C390" s="4">
        <f>30.754 * CHOOSE(CONTROL!$C$9, $C$13, 100%, $E$13) + CHOOSE(CONTROL!$C$28, 0.0272, 0)</f>
        <v>30.781200000000002</v>
      </c>
      <c r="D390" s="4">
        <f>43.3612 * CHOOSE(CONTROL!$C$9, $C$13, 100%, $E$13) + CHOOSE(CONTROL!$C$28, 0.0021, 0)</f>
        <v>43.363299999999995</v>
      </c>
      <c r="E390" s="4">
        <f>201.516465099449 * CHOOSE(CONTROL!$C$9, $C$13, 100%, $E$13) + CHOOSE(CONTROL!$C$28, 0.0021, 0)</f>
        <v>201.51856509944901</v>
      </c>
    </row>
    <row r="391" spans="1:5" ht="15">
      <c r="A391" s="13">
        <v>53052</v>
      </c>
      <c r="B391" s="4">
        <f>32.9654 * CHOOSE(CONTROL!$C$9, $C$13, 100%, $E$13) + CHOOSE(CONTROL!$C$28, 0.0272, 0)</f>
        <v>32.992600000000003</v>
      </c>
      <c r="C391" s="4">
        <f>32.6022 * CHOOSE(CONTROL!$C$9, $C$13, 100%, $E$13) + CHOOSE(CONTROL!$C$28, 0.0272, 0)</f>
        <v>32.629400000000004</v>
      </c>
      <c r="D391" s="4">
        <f>45.5764 * CHOOSE(CONTROL!$C$9, $C$13, 100%, $E$13) + CHOOSE(CONTROL!$C$28, 0.0021, 0)</f>
        <v>45.578499999999998</v>
      </c>
      <c r="E391" s="4">
        <f>213.790165144287 * CHOOSE(CONTROL!$C$9, $C$13, 100%, $E$13) + CHOOSE(CONTROL!$C$28, 0.0021, 0)</f>
        <v>213.792265144287</v>
      </c>
    </row>
    <row r="392" spans="1:5" ht="15">
      <c r="A392" s="13">
        <v>53082</v>
      </c>
      <c r="B392" s="4">
        <f>34.2786 * CHOOSE(CONTROL!$C$9, $C$13, 100%, $E$13) + CHOOSE(CONTROL!$C$28, 0.0272, 0)</f>
        <v>34.305799999999998</v>
      </c>
      <c r="C392" s="4">
        <f>33.9153 * CHOOSE(CONTROL!$C$9, $C$13, 100%, $E$13) + CHOOSE(CONTROL!$C$28, 0.0272, 0)</f>
        <v>33.942500000000003</v>
      </c>
      <c r="D392" s="4">
        <f>46.8525 * CHOOSE(CONTROL!$C$9, $C$13, 100%, $E$13) + CHOOSE(CONTROL!$C$28, 0.0021, 0)</f>
        <v>46.854599999999998</v>
      </c>
      <c r="E392" s="4">
        <f>222.510792594703 * CHOOSE(CONTROL!$C$9, $C$13, 100%, $E$13) + CHOOSE(CONTROL!$C$28, 0.0021, 0)</f>
        <v>222.512892594703</v>
      </c>
    </row>
    <row r="393" spans="1:5" ht="15">
      <c r="A393" s="13">
        <v>53113</v>
      </c>
      <c r="B393" s="4">
        <f>35.0809 * CHOOSE(CONTROL!$C$9, $C$13, 100%, $E$13) + CHOOSE(CONTROL!$C$28, 0.0272, 0)</f>
        <v>35.1081</v>
      </c>
      <c r="C393" s="4">
        <f>34.7176 * CHOOSE(CONTROL!$C$9, $C$13, 100%, $E$13) + CHOOSE(CONTROL!$C$28, 0.0272, 0)</f>
        <v>34.744799999999998</v>
      </c>
      <c r="D393" s="4">
        <f>46.3483 * CHOOSE(CONTROL!$C$9, $C$13, 100%, $E$13) + CHOOSE(CONTROL!$C$28, 0.0021, 0)</f>
        <v>46.3504</v>
      </c>
      <c r="E393" s="4">
        <f>227.838886962638 * CHOOSE(CONTROL!$C$9, $C$13, 100%, $E$13) + CHOOSE(CONTROL!$C$28, 0.0021, 0)</f>
        <v>227.84098696263803</v>
      </c>
    </row>
    <row r="394" spans="1:5" ht="15">
      <c r="A394" s="13">
        <v>53143</v>
      </c>
      <c r="B394" s="4">
        <f>35.1894 * CHOOSE(CONTROL!$C$9, $C$13, 100%, $E$13) + CHOOSE(CONTROL!$C$28, 0.0272, 0)</f>
        <v>35.2166</v>
      </c>
      <c r="C394" s="4">
        <f>34.8261 * CHOOSE(CONTROL!$C$9, $C$13, 100%, $E$13) + CHOOSE(CONTROL!$C$28, 0.0272, 0)</f>
        <v>34.853299999999997</v>
      </c>
      <c r="D394" s="4">
        <f>46.7589 * CHOOSE(CONTROL!$C$9, $C$13, 100%, $E$13) + CHOOSE(CONTROL!$C$28, 0.0021, 0)</f>
        <v>46.760999999999996</v>
      </c>
      <c r="E394" s="4">
        <f>228.559800242665 * CHOOSE(CONTROL!$C$9, $C$13, 100%, $E$13) + CHOOSE(CONTROL!$C$28, 0.0021, 0)</f>
        <v>228.56190024266502</v>
      </c>
    </row>
    <row r="395" spans="1:5" ht="15">
      <c r="A395" s="13">
        <v>53174</v>
      </c>
      <c r="B395" s="4">
        <f>35.1785 * CHOOSE(CONTROL!$C$9, $C$13, 100%, $E$13) + CHOOSE(CONTROL!$C$28, 0.0272, 0)</f>
        <v>35.2057</v>
      </c>
      <c r="C395" s="4">
        <f>34.8152 * CHOOSE(CONTROL!$C$9, $C$13, 100%, $E$13) + CHOOSE(CONTROL!$C$28, 0.0272, 0)</f>
        <v>34.842399999999998</v>
      </c>
      <c r="D395" s="4">
        <f>47.4999 * CHOOSE(CONTROL!$C$9, $C$13, 100%, $E$13) + CHOOSE(CONTROL!$C$28, 0.0021, 0)</f>
        <v>47.501999999999995</v>
      </c>
      <c r="E395" s="4">
        <f>228.487103105183 * CHOOSE(CONTROL!$C$9, $C$13, 100%, $E$13) + CHOOSE(CONTROL!$C$28, 0.0021, 0)</f>
        <v>228.48920310518301</v>
      </c>
    </row>
    <row r="396" spans="1:5" ht="15">
      <c r="A396" s="13">
        <v>53205</v>
      </c>
      <c r="B396" s="4">
        <f>36.0022 * CHOOSE(CONTROL!$C$9, $C$13, 100%, $E$13) + CHOOSE(CONTROL!$C$28, 0.0272, 0)</f>
        <v>36.029400000000003</v>
      </c>
      <c r="C396" s="4">
        <f>35.6389 * CHOOSE(CONTROL!$C$9, $C$13, 100%, $E$13) + CHOOSE(CONTROL!$C$28, 0.0272, 0)</f>
        <v>35.6661</v>
      </c>
      <c r="D396" s="4">
        <f>47.0105 * CHOOSE(CONTROL!$C$9, $C$13, 100%, $E$13) + CHOOSE(CONTROL!$C$28, 0.0021, 0)</f>
        <v>47.012599999999999</v>
      </c>
      <c r="E396" s="4">
        <f>233.957562700686 * CHOOSE(CONTROL!$C$9, $C$13, 100%, $E$13) + CHOOSE(CONTROL!$C$28, 0.0021, 0)</f>
        <v>233.95966270068601</v>
      </c>
    </row>
    <row r="397" spans="1:5" ht="15">
      <c r="A397" s="13">
        <v>53235</v>
      </c>
      <c r="B397" s="4">
        <f>34.5983 * CHOOSE(CONTROL!$C$9, $C$13, 100%, $E$13) + CHOOSE(CONTROL!$C$28, 0.0272, 0)</f>
        <v>34.625500000000002</v>
      </c>
      <c r="C397" s="4">
        <f>34.235 * CHOOSE(CONTROL!$C$9, $C$13, 100%, $E$13) + CHOOSE(CONTROL!$C$28, 0.0272, 0)</f>
        <v>34.2622</v>
      </c>
      <c r="D397" s="4">
        <f>46.7793 * CHOOSE(CONTROL!$C$9, $C$13, 100%, $E$13) + CHOOSE(CONTROL!$C$28, 0.0021, 0)</f>
        <v>46.781399999999998</v>
      </c>
      <c r="E397" s="4">
        <f>224.63415481865 * CHOOSE(CONTROL!$C$9, $C$13, 100%, $E$13) + CHOOSE(CONTROL!$C$28, 0.0021, 0)</f>
        <v>224.63625481865</v>
      </c>
    </row>
    <row r="398" spans="1:5" ht="15">
      <c r="A398" s="13">
        <v>53266</v>
      </c>
      <c r="B398" s="4">
        <f>33.4745 * CHOOSE(CONTROL!$C$9, $C$13, 100%, $E$13) + CHOOSE(CONTROL!$C$28, 0.0272, 0)</f>
        <v>33.5017</v>
      </c>
      <c r="C398" s="4">
        <f>33.1112 * CHOOSE(CONTROL!$C$9, $C$13, 100%, $E$13) + CHOOSE(CONTROL!$C$28, 0.0272, 0)</f>
        <v>33.138399999999997</v>
      </c>
      <c r="D398" s="4">
        <f>46.1603 * CHOOSE(CONTROL!$C$9, $C$13, 100%, $E$13) + CHOOSE(CONTROL!$C$28, 0.0021, 0)</f>
        <v>46.162399999999998</v>
      </c>
      <c r="E398" s="4">
        <f>217.170582037189 * CHOOSE(CONTROL!$C$9, $C$13, 100%, $E$13) + CHOOSE(CONTROL!$C$28, 0.0021, 0)</f>
        <v>217.17268203718902</v>
      </c>
    </row>
    <row r="399" spans="1:5" ht="15">
      <c r="A399" s="13">
        <v>53296</v>
      </c>
      <c r="B399" s="4">
        <f>32.7506 * CHOOSE(CONTROL!$C$9, $C$13, 100%, $E$13) + CHOOSE(CONTROL!$C$28, 0.0272, 0)</f>
        <v>32.777799999999999</v>
      </c>
      <c r="C399" s="4">
        <f>32.3873 * CHOOSE(CONTROL!$C$9, $C$13, 100%, $E$13) + CHOOSE(CONTROL!$C$28, 0.0272, 0)</f>
        <v>32.414500000000004</v>
      </c>
      <c r="D399" s="4">
        <f>45.9475 * CHOOSE(CONTROL!$C$9, $C$13, 100%, $E$13) + CHOOSE(CONTROL!$C$28, 0.0021, 0)</f>
        <v>45.949599999999997</v>
      </c>
      <c r="E399" s="4">
        <f>212.363483821207 * CHOOSE(CONTROL!$C$9, $C$13, 100%, $E$13) + CHOOSE(CONTROL!$C$28, 0.0021, 0)</f>
        <v>212.36558382120703</v>
      </c>
    </row>
    <row r="400" spans="1:5" ht="15">
      <c r="A400" s="13">
        <v>53327</v>
      </c>
      <c r="B400" s="4">
        <f>32.2498 * CHOOSE(CONTROL!$C$9, $C$13, 100%, $E$13) + CHOOSE(CONTROL!$C$28, 0.0272, 0)</f>
        <v>32.277000000000001</v>
      </c>
      <c r="C400" s="4">
        <f>31.8865 * CHOOSE(CONTROL!$C$9, $C$13, 100%, $E$13) + CHOOSE(CONTROL!$C$28, 0.0272, 0)</f>
        <v>31.913700000000002</v>
      </c>
      <c r="D400" s="4">
        <f>44.3806 * CHOOSE(CONTROL!$C$9, $C$13, 100%, $E$13) + CHOOSE(CONTROL!$C$28, 0.0021, 0)</f>
        <v>44.3827</v>
      </c>
      <c r="E400" s="4">
        <f>209.037589781417 * CHOOSE(CONTROL!$C$9, $C$13, 100%, $E$13) + CHOOSE(CONTROL!$C$28, 0.0021, 0)</f>
        <v>209.03968978141702</v>
      </c>
    </row>
    <row r="401" spans="1:5" ht="15">
      <c r="A401" s="13">
        <v>53358</v>
      </c>
      <c r="B401" s="4">
        <f>30.8796 * CHOOSE(CONTROL!$C$9, $C$13, 100%, $E$13) + CHOOSE(CONTROL!$C$28, 0.0272, 0)</f>
        <v>30.9068</v>
      </c>
      <c r="C401" s="4">
        <f>30.5163 * CHOOSE(CONTROL!$C$9, $C$13, 100%, $E$13) + CHOOSE(CONTROL!$C$28, 0.0272, 0)</f>
        <v>30.543500000000002</v>
      </c>
      <c r="D401" s="4">
        <f>42.6545 * CHOOSE(CONTROL!$C$9, $C$13, 100%, $E$13) + CHOOSE(CONTROL!$C$28, 0.0021, 0)</f>
        <v>42.656599999999997</v>
      </c>
      <c r="E401" s="4">
        <f>200.330324761563 * CHOOSE(CONTROL!$C$9, $C$13, 100%, $E$13) + CHOOSE(CONTROL!$C$28, 0.0021, 0)</f>
        <v>200.332424761563</v>
      </c>
    </row>
    <row r="402" spans="1:5" ht="15">
      <c r="A402" s="13">
        <v>53386</v>
      </c>
      <c r="B402" s="4">
        <f>31.5944 * CHOOSE(CONTROL!$C$9, $C$13, 100%, $E$13) + CHOOSE(CONTROL!$C$28, 0.0272, 0)</f>
        <v>31.621600000000001</v>
      </c>
      <c r="C402" s="4">
        <f>31.2312 * CHOOSE(CONTROL!$C$9, $C$13, 100%, $E$13) + CHOOSE(CONTROL!$C$28, 0.0272, 0)</f>
        <v>31.258400000000002</v>
      </c>
      <c r="D402" s="4">
        <f>44.0946 * CHOOSE(CONTROL!$C$9, $C$13, 100%, $E$13) + CHOOSE(CONTROL!$C$28, 0.0021, 0)</f>
        <v>44.096699999999998</v>
      </c>
      <c r="E402" s="4">
        <f>205.08695615507 * CHOOSE(CONTROL!$C$9, $C$13, 100%, $E$13) + CHOOSE(CONTROL!$C$28, 0.0021, 0)</f>
        <v>205.08905615507001</v>
      </c>
    </row>
    <row r="403" spans="1:5" ht="15">
      <c r="A403" s="13">
        <v>53417</v>
      </c>
      <c r="B403" s="4">
        <f>33.4717 * CHOOSE(CONTROL!$C$9, $C$13, 100%, $E$13) + CHOOSE(CONTROL!$C$28, 0.0272, 0)</f>
        <v>33.498899999999999</v>
      </c>
      <c r="C403" s="4">
        <f>33.1084 * CHOOSE(CONTROL!$C$9, $C$13, 100%, $E$13) + CHOOSE(CONTROL!$C$28, 0.0272, 0)</f>
        <v>33.135600000000004</v>
      </c>
      <c r="D403" s="4">
        <f>46.349 * CHOOSE(CONTROL!$C$9, $C$13, 100%, $E$13) + CHOOSE(CONTROL!$C$28, 0.0021, 0)</f>
        <v>46.351099999999995</v>
      </c>
      <c r="E403" s="4">
        <f>217.578122977165 * CHOOSE(CONTROL!$C$9, $C$13, 100%, $E$13) + CHOOSE(CONTROL!$C$28, 0.0021, 0)</f>
        <v>217.58022297716502</v>
      </c>
    </row>
    <row r="404" spans="1:5" ht="15">
      <c r="A404" s="13">
        <v>53447</v>
      </c>
      <c r="B404" s="4">
        <f>34.8054 * CHOOSE(CONTROL!$C$9, $C$13, 100%, $E$13) + CHOOSE(CONTROL!$C$28, 0.0272, 0)</f>
        <v>34.832599999999999</v>
      </c>
      <c r="C404" s="4">
        <f>34.4422 * CHOOSE(CONTROL!$C$9, $C$13, 100%, $E$13) + CHOOSE(CONTROL!$C$28, 0.0272, 0)</f>
        <v>34.4694</v>
      </c>
      <c r="D404" s="4">
        <f>47.6476 * CHOOSE(CONTROL!$C$9, $C$13, 100%, $E$13) + CHOOSE(CONTROL!$C$28, 0.0021, 0)</f>
        <v>47.649699999999996</v>
      </c>
      <c r="E404" s="4">
        <f>226.453263470949 * CHOOSE(CONTROL!$C$9, $C$13, 100%, $E$13) + CHOOSE(CONTROL!$C$28, 0.0021, 0)</f>
        <v>226.45536347094901</v>
      </c>
    </row>
    <row r="405" spans="1:5" ht="15">
      <c r="A405" s="13">
        <v>53478</v>
      </c>
      <c r="B405" s="4">
        <f>35.6203 * CHOOSE(CONTROL!$C$9, $C$13, 100%, $E$13) + CHOOSE(CONTROL!$C$28, 0.0272, 0)</f>
        <v>35.647500000000001</v>
      </c>
      <c r="C405" s="4">
        <f>35.2571 * CHOOSE(CONTROL!$C$9, $C$13, 100%, $E$13) + CHOOSE(CONTROL!$C$28, 0.0272, 0)</f>
        <v>35.284300000000002</v>
      </c>
      <c r="D405" s="4">
        <f>47.1344 * CHOOSE(CONTROL!$C$9, $C$13, 100%, $E$13) + CHOOSE(CONTROL!$C$28, 0.0021, 0)</f>
        <v>47.136499999999998</v>
      </c>
      <c r="E405" s="4">
        <f>231.87576160522 * CHOOSE(CONTROL!$C$9, $C$13, 100%, $E$13) + CHOOSE(CONTROL!$C$28, 0.0021, 0)</f>
        <v>231.87786160522001</v>
      </c>
    </row>
    <row r="406" spans="1:5" ht="15">
      <c r="A406" s="13">
        <v>53508</v>
      </c>
      <c r="B406" s="4">
        <f>35.7306 * CHOOSE(CONTROL!$C$9, $C$13, 100%, $E$13) + CHOOSE(CONTROL!$C$28, 0.0272, 0)</f>
        <v>35.757800000000003</v>
      </c>
      <c r="C406" s="4">
        <f>35.3673 * CHOOSE(CONTROL!$C$9, $C$13, 100%, $E$13) + CHOOSE(CONTROL!$C$28, 0.0272, 0)</f>
        <v>35.394500000000001</v>
      </c>
      <c r="D406" s="4">
        <f>47.5523 * CHOOSE(CONTROL!$C$9, $C$13, 100%, $E$13) + CHOOSE(CONTROL!$C$28, 0.0021, 0)</f>
        <v>47.554400000000001</v>
      </c>
      <c r="E406" s="4">
        <f>232.609448106616 * CHOOSE(CONTROL!$C$9, $C$13, 100%, $E$13) + CHOOSE(CONTROL!$C$28, 0.0021, 0)</f>
        <v>232.611548106616</v>
      </c>
    </row>
    <row r="407" spans="1:5" ht="15">
      <c r="A407" s="13">
        <v>53539</v>
      </c>
      <c r="B407" s="4">
        <f>35.7195 * CHOOSE(CONTROL!$C$9, $C$13, 100%, $E$13) + CHOOSE(CONTROL!$C$28, 0.0272, 0)</f>
        <v>35.746699999999997</v>
      </c>
      <c r="C407" s="4">
        <f>35.3562 * CHOOSE(CONTROL!$C$9, $C$13, 100%, $E$13) + CHOOSE(CONTROL!$C$28, 0.0272, 0)</f>
        <v>35.383400000000002</v>
      </c>
      <c r="D407" s="4">
        <f>48.3064 * CHOOSE(CONTROL!$C$9, $C$13, 100%, $E$13) + CHOOSE(CONTROL!$C$28, 0.0021, 0)</f>
        <v>48.308499999999995</v>
      </c>
      <c r="E407" s="4">
        <f>232.535462913198 * CHOOSE(CONTROL!$C$9, $C$13, 100%, $E$13) + CHOOSE(CONTROL!$C$28, 0.0021, 0)</f>
        <v>232.537562913198</v>
      </c>
    </row>
    <row r="408" spans="1:5" ht="15">
      <c r="A408" s="13">
        <v>53570</v>
      </c>
      <c r="B408" s="4">
        <f>36.5562 * CHOOSE(CONTROL!$C$9, $C$13, 100%, $E$13) + CHOOSE(CONTROL!$C$28, 0.0272, 0)</f>
        <v>36.583399999999997</v>
      </c>
      <c r="C408" s="4">
        <f>36.1929 * CHOOSE(CONTROL!$C$9, $C$13, 100%, $E$13) + CHOOSE(CONTROL!$C$28, 0.0272, 0)</f>
        <v>36.220100000000002</v>
      </c>
      <c r="D408" s="4">
        <f>47.8084 * CHOOSE(CONTROL!$C$9, $C$13, 100%, $E$13) + CHOOSE(CONTROL!$C$28, 0.0021, 0)</f>
        <v>47.810499999999998</v>
      </c>
      <c r="E408" s="4">
        <f>238.102848717913 * CHOOSE(CONTROL!$C$9, $C$13, 100%, $E$13) + CHOOSE(CONTROL!$C$28, 0.0021, 0)</f>
        <v>238.104948717913</v>
      </c>
    </row>
    <row r="409" spans="1:5" ht="15">
      <c r="A409" s="13">
        <v>53600</v>
      </c>
      <c r="B409" s="4">
        <f>35.1302 * CHOOSE(CONTROL!$C$9, $C$13, 100%, $E$13) + CHOOSE(CONTROL!$C$28, 0.0272, 0)</f>
        <v>35.157400000000003</v>
      </c>
      <c r="C409" s="4">
        <f>34.7669 * CHOOSE(CONTROL!$C$9, $C$13, 100%, $E$13) + CHOOSE(CONTROL!$C$28, 0.0272, 0)</f>
        <v>34.7941</v>
      </c>
      <c r="D409" s="4">
        <f>47.5731 * CHOOSE(CONTROL!$C$9, $C$13, 100%, $E$13) + CHOOSE(CONTROL!$C$28, 0.0021, 0)</f>
        <v>47.575199999999995</v>
      </c>
      <c r="E409" s="4">
        <f>228.614247662037 * CHOOSE(CONTROL!$C$9, $C$13, 100%, $E$13) + CHOOSE(CONTROL!$C$28, 0.0021, 0)</f>
        <v>228.61634766203701</v>
      </c>
    </row>
    <row r="410" spans="1:5" ht="15">
      <c r="A410" s="13">
        <v>53631</v>
      </c>
      <c r="B410" s="4">
        <f>33.9887 * CHOOSE(CONTROL!$C$9, $C$13, 100%, $E$13) + CHOOSE(CONTROL!$C$28, 0.0272, 0)</f>
        <v>34.015900000000002</v>
      </c>
      <c r="C410" s="4">
        <f>33.6254 * CHOOSE(CONTROL!$C$9, $C$13, 100%, $E$13) + CHOOSE(CONTROL!$C$28, 0.0272, 0)</f>
        <v>33.6526</v>
      </c>
      <c r="D410" s="4">
        <f>46.9431 * CHOOSE(CONTROL!$C$9, $C$13, 100%, $E$13) + CHOOSE(CONTROL!$C$28, 0.0021, 0)</f>
        <v>46.9452</v>
      </c>
      <c r="E410" s="4">
        <f>221.018434471109 * CHOOSE(CONTROL!$C$9, $C$13, 100%, $E$13) + CHOOSE(CONTROL!$C$28, 0.0021, 0)</f>
        <v>221.02053447110902</v>
      </c>
    </row>
    <row r="411" spans="1:5" ht="15">
      <c r="A411" s="13">
        <v>53661</v>
      </c>
      <c r="B411" s="4">
        <f>33.2534 * CHOOSE(CONTROL!$C$9, $C$13, 100%, $E$13) + CHOOSE(CONTROL!$C$28, 0.0272, 0)</f>
        <v>33.2806</v>
      </c>
      <c r="C411" s="4">
        <f>32.8902 * CHOOSE(CONTROL!$C$9, $C$13, 100%, $E$13) + CHOOSE(CONTROL!$C$28, 0.0272, 0)</f>
        <v>32.917400000000001</v>
      </c>
      <c r="D411" s="4">
        <f>46.7265 * CHOOSE(CONTROL!$C$9, $C$13, 100%, $E$13) + CHOOSE(CONTROL!$C$28, 0.0021, 0)</f>
        <v>46.7286</v>
      </c>
      <c r="E411" s="4">
        <f>216.126163556334 * CHOOSE(CONTROL!$C$9, $C$13, 100%, $E$13) + CHOOSE(CONTROL!$C$28, 0.0021, 0)</f>
        <v>216.12826355633402</v>
      </c>
    </row>
    <row r="412" spans="1:5" ht="15">
      <c r="A412" s="13">
        <v>53692</v>
      </c>
      <c r="B412" s="4">
        <f>32.7448 * CHOOSE(CONTROL!$C$9, $C$13, 100%, $E$13) + CHOOSE(CONTROL!$C$28, 0.0272, 0)</f>
        <v>32.771999999999998</v>
      </c>
      <c r="C412" s="4">
        <f>32.3815 * CHOOSE(CONTROL!$C$9, $C$13, 100%, $E$13) + CHOOSE(CONTROL!$C$28, 0.0272, 0)</f>
        <v>32.408700000000003</v>
      </c>
      <c r="D412" s="4">
        <f>45.132 * CHOOSE(CONTROL!$C$9, $C$13, 100%, $E$13) + CHOOSE(CONTROL!$C$28, 0.0021, 0)</f>
        <v>45.134099999999997</v>
      </c>
      <c r="E412" s="4">
        <f>212.741340957455 * CHOOSE(CONTROL!$C$9, $C$13, 100%, $E$13) + CHOOSE(CONTROL!$C$28, 0.0021, 0)</f>
        <v>212.74344095745502</v>
      </c>
    </row>
    <row r="413" spans="1:5" ht="15">
      <c r="A413" s="13">
        <v>53723</v>
      </c>
      <c r="B413" s="4">
        <f>31.353 * CHOOSE(CONTROL!$C$9, $C$13, 100%, $E$13) + CHOOSE(CONTROL!$C$28, 0.0272, 0)</f>
        <v>31.380200000000002</v>
      </c>
      <c r="C413" s="4">
        <f>30.9897 * CHOOSE(CONTROL!$C$9, $C$13, 100%, $E$13) + CHOOSE(CONTROL!$C$28, 0.0272, 0)</f>
        <v>31.0169</v>
      </c>
      <c r="D413" s="4">
        <f>43.3755 * CHOOSE(CONTROL!$C$9, $C$13, 100%, $E$13) + CHOOSE(CONTROL!$C$28, 0.0021, 0)</f>
        <v>43.377600000000001</v>
      </c>
      <c r="E413" s="4">
        <f>203.879799651259 * CHOOSE(CONTROL!$C$9, $C$13, 100%, $E$13) + CHOOSE(CONTROL!$C$28, 0.0021, 0)</f>
        <v>203.881899651259</v>
      </c>
    </row>
    <row r="414" spans="1:5" ht="15">
      <c r="A414" s="13">
        <v>53751</v>
      </c>
      <c r="B414" s="4">
        <f>32.0791 * CHOOSE(CONTROL!$C$9, $C$13, 100%, $E$13) + CHOOSE(CONTROL!$C$28, 0.0272, 0)</f>
        <v>32.106299999999997</v>
      </c>
      <c r="C414" s="4">
        <f>31.7158 * CHOOSE(CONTROL!$C$9, $C$13, 100%, $E$13) + CHOOSE(CONTROL!$C$28, 0.0272, 0)</f>
        <v>31.743000000000002</v>
      </c>
      <c r="D414" s="4">
        <f>44.841 * CHOOSE(CONTROL!$C$9, $C$13, 100%, $E$13) + CHOOSE(CONTROL!$C$28, 0.0021, 0)</f>
        <v>44.8431</v>
      </c>
      <c r="E414" s="4">
        <f>208.720709566807 * CHOOSE(CONTROL!$C$9, $C$13, 100%, $E$13) + CHOOSE(CONTROL!$C$28, 0.0021, 0)</f>
        <v>208.722809566807</v>
      </c>
    </row>
    <row r="415" spans="1:5" ht="15">
      <c r="A415" s="13">
        <v>53782</v>
      </c>
      <c r="B415" s="4">
        <f>33.9858 * CHOOSE(CONTROL!$C$9, $C$13, 100%, $E$13) + CHOOSE(CONTROL!$C$28, 0.0272, 0)</f>
        <v>34.012999999999998</v>
      </c>
      <c r="C415" s="4">
        <f>33.6225 * CHOOSE(CONTROL!$C$9, $C$13, 100%, $E$13) + CHOOSE(CONTROL!$C$28, 0.0272, 0)</f>
        <v>33.649700000000003</v>
      </c>
      <c r="D415" s="4">
        <f>47.1352 * CHOOSE(CONTROL!$C$9, $C$13, 100%, $E$13) + CHOOSE(CONTROL!$C$28, 0.0021, 0)</f>
        <v>47.137299999999996</v>
      </c>
      <c r="E415" s="4">
        <f>221.433196266613 * CHOOSE(CONTROL!$C$9, $C$13, 100%, $E$13) + CHOOSE(CONTROL!$C$28, 0.0021, 0)</f>
        <v>221.43529626661302</v>
      </c>
    </row>
    <row r="416" spans="1:5" ht="15">
      <c r="A416" s="13">
        <v>53812</v>
      </c>
      <c r="B416" s="4">
        <f>35.3406 * CHOOSE(CONTROL!$C$9, $C$13, 100%, $E$13) + CHOOSE(CONTROL!$C$28, 0.0272, 0)</f>
        <v>35.367800000000003</v>
      </c>
      <c r="C416" s="4">
        <f>34.9773 * CHOOSE(CONTROL!$C$9, $C$13, 100%, $E$13) + CHOOSE(CONTROL!$C$28, 0.0272, 0)</f>
        <v>35.0045</v>
      </c>
      <c r="D416" s="4">
        <f>48.4567 * CHOOSE(CONTROL!$C$9, $C$13, 100%, $E$13) + CHOOSE(CONTROL!$C$28, 0.0021, 0)</f>
        <v>48.458799999999997</v>
      </c>
      <c r="E416" s="4">
        <f>230.465587482986 * CHOOSE(CONTROL!$C$9, $C$13, 100%, $E$13) + CHOOSE(CONTROL!$C$28, 0.0021, 0)</f>
        <v>230.46768748298601</v>
      </c>
    </row>
    <row r="417" spans="1:5" ht="15">
      <c r="A417" s="13">
        <v>53843</v>
      </c>
      <c r="B417" s="4">
        <f>36.1683 * CHOOSE(CONTROL!$C$9, $C$13, 100%, $E$13) + CHOOSE(CONTROL!$C$28, 0.0272, 0)</f>
        <v>36.195500000000003</v>
      </c>
      <c r="C417" s="4">
        <f>35.805 * CHOOSE(CONTROL!$C$9, $C$13, 100%, $E$13) + CHOOSE(CONTROL!$C$28, 0.0272, 0)</f>
        <v>35.8322</v>
      </c>
      <c r="D417" s="4">
        <f>47.9345 * CHOOSE(CONTROL!$C$9, $C$13, 100%, $E$13) + CHOOSE(CONTROL!$C$28, 0.0021, 0)</f>
        <v>47.936599999999999</v>
      </c>
      <c r="E417" s="4">
        <f>235.984162039984 * CHOOSE(CONTROL!$C$9, $C$13, 100%, $E$13) + CHOOSE(CONTROL!$C$28, 0.0021, 0)</f>
        <v>235.98626203998401</v>
      </c>
    </row>
    <row r="418" spans="1:5" ht="15">
      <c r="A418" s="13">
        <v>53873</v>
      </c>
      <c r="B418" s="4">
        <f>36.2803 * CHOOSE(CONTROL!$C$9, $C$13, 100%, $E$13) + CHOOSE(CONTROL!$C$28, 0.0272, 0)</f>
        <v>36.307499999999997</v>
      </c>
      <c r="C418" s="4">
        <f>35.917 * CHOOSE(CONTROL!$C$9, $C$13, 100%, $E$13) + CHOOSE(CONTROL!$C$28, 0.0272, 0)</f>
        <v>35.944200000000002</v>
      </c>
      <c r="D418" s="4">
        <f>48.3598 * CHOOSE(CONTROL!$C$9, $C$13, 100%, $E$13) + CHOOSE(CONTROL!$C$28, 0.0021, 0)</f>
        <v>48.361899999999999</v>
      </c>
      <c r="E418" s="4">
        <f>236.730848080101 * CHOOSE(CONTROL!$C$9, $C$13, 100%, $E$13) + CHOOSE(CONTROL!$C$28, 0.0021, 0)</f>
        <v>236.73294808010101</v>
      </c>
    </row>
    <row r="419" spans="1:5" ht="15">
      <c r="A419" s="13">
        <v>53904</v>
      </c>
      <c r="B419" s="4">
        <f>36.269 * CHOOSE(CONTROL!$C$9, $C$13, 100%, $E$13) + CHOOSE(CONTROL!$C$28, 0.0272, 0)</f>
        <v>36.296199999999999</v>
      </c>
      <c r="C419" s="4">
        <f>35.9057 * CHOOSE(CONTROL!$C$9, $C$13, 100%, $E$13) + CHOOSE(CONTROL!$C$28, 0.0272, 0)</f>
        <v>35.932900000000004</v>
      </c>
      <c r="D419" s="4">
        <f>49.1272 * CHOOSE(CONTROL!$C$9, $C$13, 100%, $E$13) + CHOOSE(CONTROL!$C$28, 0.0021, 0)</f>
        <v>49.129300000000001</v>
      </c>
      <c r="E419" s="4">
        <f>236.655552008829 * CHOOSE(CONTROL!$C$9, $C$13, 100%, $E$13) + CHOOSE(CONTROL!$C$28, 0.0021, 0)</f>
        <v>236.65765200882902</v>
      </c>
    </row>
    <row r="420" spans="1:5" ht="15">
      <c r="A420" s="13">
        <v>53935</v>
      </c>
      <c r="B420" s="4">
        <f>37.1188 * CHOOSE(CONTROL!$C$9, $C$13, 100%, $E$13) + CHOOSE(CONTROL!$C$28, 0.0272, 0)</f>
        <v>37.146000000000001</v>
      </c>
      <c r="C420" s="4">
        <f>36.7556 * CHOOSE(CONTROL!$C$9, $C$13, 100%, $E$13) + CHOOSE(CONTROL!$C$28, 0.0272, 0)</f>
        <v>36.782800000000002</v>
      </c>
      <c r="D420" s="4">
        <f>48.6204 * CHOOSE(CONTROL!$C$9, $C$13, 100%, $E$13) + CHOOSE(CONTROL!$C$28, 0.0021, 0)</f>
        <v>48.622499999999995</v>
      </c>
      <c r="E420" s="4">
        <f>242.321581372069 * CHOOSE(CONTROL!$C$9, $C$13, 100%, $E$13) + CHOOSE(CONTROL!$C$28, 0.0021, 0)</f>
        <v>242.32368137206902</v>
      </c>
    </row>
    <row r="421" spans="1:5" ht="15">
      <c r="A421" s="13">
        <v>53965</v>
      </c>
      <c r="B421" s="4">
        <f>35.6704 * CHOOSE(CONTROL!$C$9, $C$13, 100%, $E$13) + CHOOSE(CONTROL!$C$28, 0.0272, 0)</f>
        <v>35.697600000000001</v>
      </c>
      <c r="C421" s="4">
        <f>35.3072 * CHOOSE(CONTROL!$C$9, $C$13, 100%, $E$13) + CHOOSE(CONTROL!$C$28, 0.0272, 0)</f>
        <v>35.334400000000002</v>
      </c>
      <c r="D421" s="4">
        <f>48.3809 * CHOOSE(CONTROL!$C$9, $C$13, 100%, $E$13) + CHOOSE(CONTROL!$C$28, 0.0021, 0)</f>
        <v>48.382999999999996</v>
      </c>
      <c r="E421" s="4">
        <f>232.664860231397 * CHOOSE(CONTROL!$C$9, $C$13, 100%, $E$13) + CHOOSE(CONTROL!$C$28, 0.0021, 0)</f>
        <v>232.66696023139701</v>
      </c>
    </row>
    <row r="422" spans="1:5" ht="15">
      <c r="A422" s="13">
        <v>53996</v>
      </c>
      <c r="B422" s="4">
        <f>34.511 * CHOOSE(CONTROL!$C$9, $C$13, 100%, $E$13) + CHOOSE(CONTROL!$C$28, 0.0272, 0)</f>
        <v>34.538200000000003</v>
      </c>
      <c r="C422" s="4">
        <f>34.1477 * CHOOSE(CONTROL!$C$9, $C$13, 100%, $E$13) + CHOOSE(CONTROL!$C$28, 0.0272, 0)</f>
        <v>34.174900000000001</v>
      </c>
      <c r="D422" s="4">
        <f>47.7398 * CHOOSE(CONTROL!$C$9, $C$13, 100%, $E$13) + CHOOSE(CONTROL!$C$28, 0.0021, 0)</f>
        <v>47.741900000000001</v>
      </c>
      <c r="E422" s="4">
        <f>224.934463580775 * CHOOSE(CONTROL!$C$9, $C$13, 100%, $E$13) + CHOOSE(CONTROL!$C$28, 0.0021, 0)</f>
        <v>224.93656358077502</v>
      </c>
    </row>
    <row r="423" spans="1:5" ht="15">
      <c r="A423" s="13">
        <v>54026</v>
      </c>
      <c r="B423" s="4">
        <f>33.7642 * CHOOSE(CONTROL!$C$9, $C$13, 100%, $E$13) + CHOOSE(CONTROL!$C$28, 0.0272, 0)</f>
        <v>33.791400000000003</v>
      </c>
      <c r="C423" s="4">
        <f>33.4009 * CHOOSE(CONTROL!$C$9, $C$13, 100%, $E$13) + CHOOSE(CONTROL!$C$28, 0.0272, 0)</f>
        <v>33.428100000000001</v>
      </c>
      <c r="D423" s="4">
        <f>47.5194 * CHOOSE(CONTROL!$C$9, $C$13, 100%, $E$13) + CHOOSE(CONTROL!$C$28, 0.0021, 0)</f>
        <v>47.521499999999996</v>
      </c>
      <c r="E423" s="4">
        <f>219.955510867894 * CHOOSE(CONTROL!$C$9, $C$13, 100%, $E$13) + CHOOSE(CONTROL!$C$28, 0.0021, 0)</f>
        <v>219.957610867894</v>
      </c>
    </row>
    <row r="424" spans="1:5" ht="15">
      <c r="A424" s="13">
        <v>54057</v>
      </c>
      <c r="B424" s="4">
        <f>33.2475 * CHOOSE(CONTROL!$C$9, $C$13, 100%, $E$13) + CHOOSE(CONTROL!$C$28, 0.0272, 0)</f>
        <v>33.274700000000003</v>
      </c>
      <c r="C424" s="4">
        <f>32.8842 * CHOOSE(CONTROL!$C$9, $C$13, 100%, $E$13) + CHOOSE(CONTROL!$C$28, 0.0272, 0)</f>
        <v>32.9114</v>
      </c>
      <c r="D424" s="4">
        <f>45.8967 * CHOOSE(CONTROL!$C$9, $C$13, 100%, $E$13) + CHOOSE(CONTROL!$C$28, 0.0021, 0)</f>
        <v>45.898800000000001</v>
      </c>
      <c r="E424" s="4">
        <f>216.510715607187 * CHOOSE(CONTROL!$C$9, $C$13, 100%, $E$13) + CHOOSE(CONTROL!$C$28, 0.0021, 0)</f>
        <v>216.51281560718701</v>
      </c>
    </row>
    <row r="425" spans="1:5" ht="15">
      <c r="A425" s="13">
        <v>54088</v>
      </c>
      <c r="B425" s="4">
        <f>31.8339 * CHOOSE(CONTROL!$C$9, $C$13, 100%, $E$13) + CHOOSE(CONTROL!$C$28, 0.0272, 0)</f>
        <v>31.8611</v>
      </c>
      <c r="C425" s="4">
        <f>31.4706 * CHOOSE(CONTROL!$C$9, $C$13, 100%, $E$13) + CHOOSE(CONTROL!$C$28, 0.0272, 0)</f>
        <v>31.497800000000002</v>
      </c>
      <c r="D425" s="4">
        <f>44.1091 * CHOOSE(CONTROL!$C$9, $C$13, 100%, $E$13) + CHOOSE(CONTROL!$C$28, 0.0021, 0)</f>
        <v>44.111199999999997</v>
      </c>
      <c r="E425" s="4">
        <f>207.492164530314 * CHOOSE(CONTROL!$C$9, $C$13, 100%, $E$13) + CHOOSE(CONTROL!$C$28, 0.0021, 0)</f>
        <v>207.49426453031401</v>
      </c>
    </row>
    <row r="426" spans="1:5" ht="15">
      <c r="A426" s="13">
        <v>54116</v>
      </c>
      <c r="B426" s="4">
        <f>32.5714 * CHOOSE(CONTROL!$C$9, $C$13, 100%, $E$13) + CHOOSE(CONTROL!$C$28, 0.0272, 0)</f>
        <v>32.598599999999998</v>
      </c>
      <c r="C426" s="4">
        <f>32.2081 * CHOOSE(CONTROL!$C$9, $C$13, 100%, $E$13) + CHOOSE(CONTROL!$C$28, 0.0272, 0)</f>
        <v>32.235300000000002</v>
      </c>
      <c r="D426" s="4">
        <f>45.6005 * CHOOSE(CONTROL!$C$9, $C$13, 100%, $E$13) + CHOOSE(CONTROL!$C$28, 0.0021, 0)</f>
        <v>45.602599999999995</v>
      </c>
      <c r="E426" s="4">
        <f>212.418846224094 * CHOOSE(CONTROL!$C$9, $C$13, 100%, $E$13) + CHOOSE(CONTROL!$C$28, 0.0021, 0)</f>
        <v>212.42094622409402</v>
      </c>
    </row>
    <row r="427" spans="1:5" ht="15">
      <c r="A427" s="13">
        <v>54148</v>
      </c>
      <c r="B427" s="4">
        <f>34.5081 * CHOOSE(CONTROL!$C$9, $C$13, 100%, $E$13) + CHOOSE(CONTROL!$C$28, 0.0272, 0)</f>
        <v>34.535299999999999</v>
      </c>
      <c r="C427" s="4">
        <f>34.1448 * CHOOSE(CONTROL!$C$9, $C$13, 100%, $E$13) + CHOOSE(CONTROL!$C$28, 0.0272, 0)</f>
        <v>34.171999999999997</v>
      </c>
      <c r="D427" s="4">
        <f>47.9353 * CHOOSE(CONTROL!$C$9, $C$13, 100%, $E$13) + CHOOSE(CONTROL!$C$28, 0.0021, 0)</f>
        <v>47.937399999999997</v>
      </c>
      <c r="E427" s="4">
        <f>225.356574171726 * CHOOSE(CONTROL!$C$9, $C$13, 100%, $E$13) + CHOOSE(CONTROL!$C$28, 0.0021, 0)</f>
        <v>225.35867417172602</v>
      </c>
    </row>
    <row r="428" spans="1:5" ht="15">
      <c r="A428" s="13">
        <v>54178</v>
      </c>
      <c r="B428" s="4">
        <f>35.8841 * CHOOSE(CONTROL!$C$9, $C$13, 100%, $E$13) + CHOOSE(CONTROL!$C$28, 0.0272, 0)</f>
        <v>35.911299999999997</v>
      </c>
      <c r="C428" s="4">
        <f>35.5209 * CHOOSE(CONTROL!$C$9, $C$13, 100%, $E$13) + CHOOSE(CONTROL!$C$28, 0.0272, 0)</f>
        <v>35.548099999999998</v>
      </c>
      <c r="D428" s="4">
        <f>49.2801 * CHOOSE(CONTROL!$C$9, $C$13, 100%, $E$13) + CHOOSE(CONTROL!$C$28, 0.0021, 0)</f>
        <v>49.282199999999996</v>
      </c>
      <c r="E428" s="4">
        <f>234.549002296412 * CHOOSE(CONTROL!$C$9, $C$13, 100%, $E$13) + CHOOSE(CONTROL!$C$28, 0.0021, 0)</f>
        <v>234.55110229641201</v>
      </c>
    </row>
    <row r="429" spans="1:5" ht="15">
      <c r="A429" s="13">
        <v>54209</v>
      </c>
      <c r="B429" s="4">
        <f>36.7249 * CHOOSE(CONTROL!$C$9, $C$13, 100%, $E$13) + CHOOSE(CONTROL!$C$28, 0.0272, 0)</f>
        <v>36.752099999999999</v>
      </c>
      <c r="C429" s="4">
        <f>36.3616 * CHOOSE(CONTROL!$C$9, $C$13, 100%, $E$13) + CHOOSE(CONTROL!$C$28, 0.0272, 0)</f>
        <v>36.388800000000003</v>
      </c>
      <c r="D429" s="4">
        <f>48.7487 * CHOOSE(CONTROL!$C$9, $C$13, 100%, $E$13) + CHOOSE(CONTROL!$C$28, 0.0021, 0)</f>
        <v>48.750799999999998</v>
      </c>
      <c r="E429" s="4">
        <f>240.165355568842 * CHOOSE(CONTROL!$C$9, $C$13, 100%, $E$13) + CHOOSE(CONTROL!$C$28, 0.0021, 0)</f>
        <v>240.167455568842</v>
      </c>
    </row>
    <row r="430" spans="1:5" ht="15">
      <c r="A430" s="13">
        <v>54239</v>
      </c>
      <c r="B430" s="4">
        <f>36.8386 * CHOOSE(CONTROL!$C$9, $C$13, 100%, $E$13) + CHOOSE(CONTROL!$C$28, 0.0272, 0)</f>
        <v>36.8658</v>
      </c>
      <c r="C430" s="4">
        <f>36.4754 * CHOOSE(CONTROL!$C$9, $C$13, 100%, $E$13) + CHOOSE(CONTROL!$C$28, 0.0272, 0)</f>
        <v>36.502600000000001</v>
      </c>
      <c r="D430" s="4">
        <f>49.1815 * CHOOSE(CONTROL!$C$9, $C$13, 100%, $E$13) + CHOOSE(CONTROL!$C$28, 0.0021, 0)</f>
        <v>49.183599999999998</v>
      </c>
      <c r="E430" s="4">
        <f>240.925271474946 * CHOOSE(CONTROL!$C$9, $C$13, 100%, $E$13) + CHOOSE(CONTROL!$C$28, 0.0021, 0)</f>
        <v>240.927371474946</v>
      </c>
    </row>
    <row r="431" spans="1:5" ht="15">
      <c r="A431" s="13">
        <v>54270</v>
      </c>
      <c r="B431" s="4">
        <f>36.8272 * CHOOSE(CONTROL!$C$9, $C$13, 100%, $E$13) + CHOOSE(CONTROL!$C$28, 0.0272, 0)</f>
        <v>36.854399999999998</v>
      </c>
      <c r="C431" s="4">
        <f>36.4639 * CHOOSE(CONTROL!$C$9, $C$13, 100%, $E$13) + CHOOSE(CONTROL!$C$28, 0.0272, 0)</f>
        <v>36.491100000000003</v>
      </c>
      <c r="D431" s="4">
        <f>49.9624 * CHOOSE(CONTROL!$C$9, $C$13, 100%, $E$13) + CHOOSE(CONTROL!$C$28, 0.0021, 0)</f>
        <v>49.964500000000001</v>
      </c>
      <c r="E431" s="4">
        <f>240.848641299541 * CHOOSE(CONTROL!$C$9, $C$13, 100%, $E$13) + CHOOSE(CONTROL!$C$28, 0.0021, 0)</f>
        <v>240.850741299541</v>
      </c>
    </row>
    <row r="432" spans="1:5" ht="15">
      <c r="A432" s="13">
        <v>54301</v>
      </c>
      <c r="B432" s="4">
        <f>37.6904 * CHOOSE(CONTROL!$C$9, $C$13, 100%, $E$13) + CHOOSE(CONTROL!$C$28, 0.0272, 0)</f>
        <v>37.717599999999997</v>
      </c>
      <c r="C432" s="4">
        <f>37.3271 * CHOOSE(CONTROL!$C$9, $C$13, 100%, $E$13) + CHOOSE(CONTROL!$C$28, 0.0272, 0)</f>
        <v>37.354300000000002</v>
      </c>
      <c r="D432" s="4">
        <f>49.4467 * CHOOSE(CONTROL!$C$9, $C$13, 100%, $E$13) + CHOOSE(CONTROL!$C$28, 0.0021, 0)</f>
        <v>49.448799999999999</v>
      </c>
      <c r="E432" s="4">
        <f>246.615061998806 * CHOOSE(CONTROL!$C$9, $C$13, 100%, $E$13) + CHOOSE(CONTROL!$C$28, 0.0021, 0)</f>
        <v>246.61716199880601</v>
      </c>
    </row>
    <row r="433" spans="1:5" ht="15">
      <c r="A433" s="13">
        <v>54331</v>
      </c>
      <c r="B433" s="4">
        <f>36.2192 * CHOOSE(CONTROL!$C$9, $C$13, 100%, $E$13) + CHOOSE(CONTROL!$C$28, 0.0272, 0)</f>
        <v>36.246400000000001</v>
      </c>
      <c r="C433" s="4">
        <f>35.8559 * CHOOSE(CONTROL!$C$9, $C$13, 100%, $E$13) + CHOOSE(CONTROL!$C$28, 0.0272, 0)</f>
        <v>35.883099999999999</v>
      </c>
      <c r="D433" s="4">
        <f>49.203 * CHOOSE(CONTROL!$C$9, $C$13, 100%, $E$13) + CHOOSE(CONTROL!$C$28, 0.0021, 0)</f>
        <v>49.205100000000002</v>
      </c>
      <c r="E433" s="4">
        <f>236.787242003049 * CHOOSE(CONTROL!$C$9, $C$13, 100%, $E$13) + CHOOSE(CONTROL!$C$28, 0.0021, 0)</f>
        <v>236.789342003049</v>
      </c>
    </row>
    <row r="434" spans="1:5" ht="15">
      <c r="A434" s="13">
        <v>54362</v>
      </c>
      <c r="B434" s="4">
        <f>35.0415 * CHOOSE(CONTROL!$C$9, $C$13, 100%, $E$13) + CHOOSE(CONTROL!$C$28, 0.0272, 0)</f>
        <v>35.0687</v>
      </c>
      <c r="C434" s="4">
        <f>34.6782 * CHOOSE(CONTROL!$C$9, $C$13, 100%, $E$13) + CHOOSE(CONTROL!$C$28, 0.0272, 0)</f>
        <v>34.705399999999997</v>
      </c>
      <c r="D434" s="4">
        <f>48.5506 * CHOOSE(CONTROL!$C$9, $C$13, 100%, $E$13) + CHOOSE(CONTROL!$C$28, 0.0021, 0)</f>
        <v>48.552700000000002</v>
      </c>
      <c r="E434" s="4">
        <f>228.919877328082 * CHOOSE(CONTROL!$C$9, $C$13, 100%, $E$13) + CHOOSE(CONTROL!$C$28, 0.0021, 0)</f>
        <v>228.92197732808202</v>
      </c>
    </row>
    <row r="435" spans="1:5" ht="15">
      <c r="A435" s="13">
        <v>54392</v>
      </c>
      <c r="B435" s="4">
        <f>34.283 * CHOOSE(CONTROL!$C$9, $C$13, 100%, $E$13) + CHOOSE(CONTROL!$C$28, 0.0272, 0)</f>
        <v>34.310200000000002</v>
      </c>
      <c r="C435" s="4">
        <f>33.9197 * CHOOSE(CONTROL!$C$9, $C$13, 100%, $E$13) + CHOOSE(CONTROL!$C$28, 0.0272, 0)</f>
        <v>33.946899999999999</v>
      </c>
      <c r="D435" s="4">
        <f>48.3263 * CHOOSE(CONTROL!$C$9, $C$13, 100%, $E$13) + CHOOSE(CONTROL!$C$28, 0.0021, 0)</f>
        <v>48.328400000000002</v>
      </c>
      <c r="E435" s="4">
        <f>223.852706979392 * CHOOSE(CONTROL!$C$9, $C$13, 100%, $E$13) + CHOOSE(CONTROL!$C$28, 0.0021, 0)</f>
        <v>223.85480697939201</v>
      </c>
    </row>
    <row r="436" spans="1:5" ht="15">
      <c r="A436" s="13">
        <v>54423</v>
      </c>
      <c r="B436" s="4">
        <f>33.7582 * CHOOSE(CONTROL!$C$9, $C$13, 100%, $E$13) + CHOOSE(CONTROL!$C$28, 0.0272, 0)</f>
        <v>33.785400000000003</v>
      </c>
      <c r="C436" s="4">
        <f>33.3949 * CHOOSE(CONTROL!$C$9, $C$13, 100%, $E$13) + CHOOSE(CONTROL!$C$28, 0.0272, 0)</f>
        <v>33.4221</v>
      </c>
      <c r="D436" s="4">
        <f>46.6749 * CHOOSE(CONTROL!$C$9, $C$13, 100%, $E$13) + CHOOSE(CONTROL!$C$28, 0.0021, 0)</f>
        <v>46.677</v>
      </c>
      <c r="E436" s="4">
        <f>220.34687645459 * CHOOSE(CONTROL!$C$9, $C$13, 100%, $E$13) + CHOOSE(CONTROL!$C$28, 0.0021, 0)</f>
        <v>220.34897645459</v>
      </c>
    </row>
    <row r="437" spans="1:5" ht="15">
      <c r="A437" s="13">
        <v>54454</v>
      </c>
      <c r="B437" s="4">
        <f>32.3223 * CHOOSE(CONTROL!$C$9, $C$13, 100%, $E$13) + CHOOSE(CONTROL!$C$28, 0.0272, 0)</f>
        <v>32.349499999999999</v>
      </c>
      <c r="C437" s="4">
        <f>31.959 * CHOOSE(CONTROL!$C$9, $C$13, 100%, $E$13) + CHOOSE(CONTROL!$C$28, 0.0272, 0)</f>
        <v>31.9862</v>
      </c>
      <c r="D437" s="4">
        <f>44.8557 * CHOOSE(CONTROL!$C$9, $C$13, 100%, $E$13) + CHOOSE(CONTROL!$C$28, 0.0021, 0)</f>
        <v>44.857799999999997</v>
      </c>
      <c r="E437" s="4">
        <f>211.168533690528 * CHOOSE(CONTROL!$C$9, $C$13, 100%, $E$13) + CHOOSE(CONTROL!$C$28, 0.0021, 0)</f>
        <v>211.17063369052801</v>
      </c>
    </row>
    <row r="438" spans="1:5" ht="15">
      <c r="A438" s="13">
        <v>54482</v>
      </c>
      <c r="B438" s="4">
        <f>33.0714 * CHOOSE(CONTROL!$C$9, $C$13, 100%, $E$13) + CHOOSE(CONTROL!$C$28, 0.0272, 0)</f>
        <v>33.098599999999998</v>
      </c>
      <c r="C438" s="4">
        <f>32.7081 * CHOOSE(CONTROL!$C$9, $C$13, 100%, $E$13) + CHOOSE(CONTROL!$C$28, 0.0272, 0)</f>
        <v>32.735300000000002</v>
      </c>
      <c r="D438" s="4">
        <f>46.3735 * CHOOSE(CONTROL!$C$9, $C$13, 100%, $E$13) + CHOOSE(CONTROL!$C$28, 0.0021, 0)</f>
        <v>46.375599999999999</v>
      </c>
      <c r="E438" s="4">
        <f>216.18250687641 * CHOOSE(CONTROL!$C$9, $C$13, 100%, $E$13) + CHOOSE(CONTROL!$C$28, 0.0021, 0)</f>
        <v>216.18460687641002</v>
      </c>
    </row>
    <row r="439" spans="1:5" ht="15">
      <c r="A439" s="13">
        <v>54513</v>
      </c>
      <c r="B439" s="4">
        <f>35.0386 * CHOOSE(CONTROL!$C$9, $C$13, 100%, $E$13) + CHOOSE(CONTROL!$C$28, 0.0272, 0)</f>
        <v>35.065800000000003</v>
      </c>
      <c r="C439" s="4">
        <f>34.6753 * CHOOSE(CONTROL!$C$9, $C$13, 100%, $E$13) + CHOOSE(CONTROL!$C$28, 0.0272, 0)</f>
        <v>34.702500000000001</v>
      </c>
      <c r="D439" s="4">
        <f>48.7495 * CHOOSE(CONTROL!$C$9, $C$13, 100%, $E$13) + CHOOSE(CONTROL!$C$28, 0.0021, 0)</f>
        <v>48.751599999999996</v>
      </c>
      <c r="E439" s="4">
        <f>229.349466921251 * CHOOSE(CONTROL!$C$9, $C$13, 100%, $E$13) + CHOOSE(CONTROL!$C$28, 0.0021, 0)</f>
        <v>229.35156692125102</v>
      </c>
    </row>
    <row r="440" spans="1:5" ht="15">
      <c r="A440" s="13">
        <v>54543</v>
      </c>
      <c r="B440" s="4">
        <f>36.4363 * CHOOSE(CONTROL!$C$9, $C$13, 100%, $E$13) + CHOOSE(CONTROL!$C$28, 0.0272, 0)</f>
        <v>36.463500000000003</v>
      </c>
      <c r="C440" s="4">
        <f>36.073 * CHOOSE(CONTROL!$C$9, $C$13, 100%, $E$13) + CHOOSE(CONTROL!$C$28, 0.0272, 0)</f>
        <v>36.100200000000001</v>
      </c>
      <c r="D440" s="4">
        <f>50.1181 * CHOOSE(CONTROL!$C$9, $C$13, 100%, $E$13) + CHOOSE(CONTROL!$C$28, 0.0021, 0)</f>
        <v>50.120199999999997</v>
      </c>
      <c r="E440" s="4">
        <f>238.704767505925 * CHOOSE(CONTROL!$C$9, $C$13, 100%, $E$13) + CHOOSE(CONTROL!$C$28, 0.0021, 0)</f>
        <v>238.706867505925</v>
      </c>
    </row>
    <row r="441" spans="1:5" ht="15">
      <c r="A441" s="13">
        <v>54574</v>
      </c>
      <c r="B441" s="4">
        <f>37.2902 * CHOOSE(CONTROL!$C$9, $C$13, 100%, $E$13) + CHOOSE(CONTROL!$C$28, 0.0272, 0)</f>
        <v>37.317399999999999</v>
      </c>
      <c r="C441" s="4">
        <f>36.9269 * CHOOSE(CONTROL!$C$9, $C$13, 100%, $E$13) + CHOOSE(CONTROL!$C$28, 0.0272, 0)</f>
        <v>36.954100000000004</v>
      </c>
      <c r="D441" s="4">
        <f>49.5773 * CHOOSE(CONTROL!$C$9, $C$13, 100%, $E$13) + CHOOSE(CONTROL!$C$28, 0.0021, 0)</f>
        <v>49.5794</v>
      </c>
      <c r="E441" s="4">
        <f>244.420631947898 * CHOOSE(CONTROL!$C$9, $C$13, 100%, $E$13) + CHOOSE(CONTROL!$C$28, 0.0021, 0)</f>
        <v>244.422731947898</v>
      </c>
    </row>
    <row r="442" spans="1:5" ht="15">
      <c r="A442" s="13">
        <v>54604</v>
      </c>
      <c r="B442" s="4">
        <f>37.4058 * CHOOSE(CONTROL!$C$9, $C$13, 100%, $E$13) + CHOOSE(CONTROL!$C$28, 0.0272, 0)</f>
        <v>37.433</v>
      </c>
      <c r="C442" s="4">
        <f>37.0425 * CHOOSE(CONTROL!$C$9, $C$13, 100%, $E$13) + CHOOSE(CONTROL!$C$28, 0.0272, 0)</f>
        <v>37.069699999999997</v>
      </c>
      <c r="D442" s="4">
        <f>50.0177 * CHOOSE(CONTROL!$C$9, $C$13, 100%, $E$13) + CHOOSE(CONTROL!$C$28, 0.0021, 0)</f>
        <v>50.019799999999996</v>
      </c>
      <c r="E442" s="4">
        <f>245.194012128222 * CHOOSE(CONTROL!$C$9, $C$13, 100%, $E$13) + CHOOSE(CONTROL!$C$28, 0.0021, 0)</f>
        <v>245.19611212822201</v>
      </c>
    </row>
    <row r="443" spans="1:5" ht="15">
      <c r="A443" s="13">
        <v>54635</v>
      </c>
      <c r="B443" s="4">
        <f>37.3941 * CHOOSE(CONTROL!$C$9, $C$13, 100%, $E$13) + CHOOSE(CONTROL!$C$28, 0.0272, 0)</f>
        <v>37.421300000000002</v>
      </c>
      <c r="C443" s="4">
        <f>37.0308 * CHOOSE(CONTROL!$C$9, $C$13, 100%, $E$13) + CHOOSE(CONTROL!$C$28, 0.0272, 0)</f>
        <v>37.058</v>
      </c>
      <c r="D443" s="4">
        <f>50.8125 * CHOOSE(CONTROL!$C$9, $C$13, 100%, $E$13) + CHOOSE(CONTROL!$C$28, 0.0021, 0)</f>
        <v>50.814599999999999</v>
      </c>
      <c r="E443" s="4">
        <f>245.116024210878 * CHOOSE(CONTROL!$C$9, $C$13, 100%, $E$13) + CHOOSE(CONTROL!$C$28, 0.0021, 0)</f>
        <v>245.11812421087802</v>
      </c>
    </row>
    <row r="444" spans="1:5" ht="15">
      <c r="A444" s="13">
        <v>54666</v>
      </c>
      <c r="B444" s="4">
        <f>38.2709 * CHOOSE(CONTROL!$C$9, $C$13, 100%, $E$13) + CHOOSE(CONTROL!$C$28, 0.0272, 0)</f>
        <v>38.298099999999998</v>
      </c>
      <c r="C444" s="4">
        <f>37.9076 * CHOOSE(CONTROL!$C$9, $C$13, 100%, $E$13) + CHOOSE(CONTROL!$C$28, 0.0272, 0)</f>
        <v>37.934800000000003</v>
      </c>
      <c r="D444" s="4">
        <f>50.2876 * CHOOSE(CONTROL!$C$9, $C$13, 100%, $E$13) + CHOOSE(CONTROL!$C$28, 0.0021, 0)</f>
        <v>50.289699999999996</v>
      </c>
      <c r="E444" s="4">
        <f>250.984614990983 * CHOOSE(CONTROL!$C$9, $C$13, 100%, $E$13) + CHOOSE(CONTROL!$C$28, 0.0021, 0)</f>
        <v>250.98671499098302</v>
      </c>
    </row>
    <row r="445" spans="1:5" ht="15">
      <c r="A445" s="13">
        <v>54696</v>
      </c>
      <c r="B445" s="4">
        <f>36.7766 * CHOOSE(CONTROL!$C$9, $C$13, 100%, $E$13) + CHOOSE(CONTROL!$C$28, 0.0272, 0)</f>
        <v>36.803800000000003</v>
      </c>
      <c r="C445" s="4">
        <f>36.4133 * CHOOSE(CONTROL!$C$9, $C$13, 100%, $E$13) + CHOOSE(CONTROL!$C$28, 0.0272, 0)</f>
        <v>36.4405</v>
      </c>
      <c r="D445" s="4">
        <f>50.0397 * CHOOSE(CONTROL!$C$9, $C$13, 100%, $E$13) + CHOOSE(CONTROL!$C$28, 0.0021, 0)</f>
        <v>50.041800000000002</v>
      </c>
      <c r="E445" s="4">
        <f>240.982664591669 * CHOOSE(CONTROL!$C$9, $C$13, 100%, $E$13) + CHOOSE(CONTROL!$C$28, 0.0021, 0)</f>
        <v>240.98476459166901</v>
      </c>
    </row>
    <row r="446" spans="1:5" ht="15">
      <c r="A446" s="13">
        <v>54727</v>
      </c>
      <c r="B446" s="4">
        <f>35.5804 * CHOOSE(CONTROL!$C$9, $C$13, 100%, $E$13) + CHOOSE(CONTROL!$C$28, 0.0272, 0)</f>
        <v>35.607599999999998</v>
      </c>
      <c r="C446" s="4">
        <f>35.2171 * CHOOSE(CONTROL!$C$9, $C$13, 100%, $E$13) + CHOOSE(CONTROL!$C$28, 0.0272, 0)</f>
        <v>35.244300000000003</v>
      </c>
      <c r="D446" s="4">
        <f>49.3757 * CHOOSE(CONTROL!$C$9, $C$13, 100%, $E$13) + CHOOSE(CONTROL!$C$28, 0.0021, 0)</f>
        <v>49.377800000000001</v>
      </c>
      <c r="E446" s="4">
        <f>232.975905077728 * CHOOSE(CONTROL!$C$9, $C$13, 100%, $E$13) + CHOOSE(CONTROL!$C$28, 0.0021, 0)</f>
        <v>232.978005077728</v>
      </c>
    </row>
    <row r="447" spans="1:5" ht="15">
      <c r="A447" s="13">
        <v>54757</v>
      </c>
      <c r="B447" s="4">
        <f>34.8099 * CHOOSE(CONTROL!$C$9, $C$13, 100%, $E$13) + CHOOSE(CONTROL!$C$28, 0.0272, 0)</f>
        <v>34.8371</v>
      </c>
      <c r="C447" s="4">
        <f>34.4466 * CHOOSE(CONTROL!$C$9, $C$13, 100%, $E$13) + CHOOSE(CONTROL!$C$28, 0.0272, 0)</f>
        <v>34.473799999999997</v>
      </c>
      <c r="D447" s="4">
        <f>49.1474 * CHOOSE(CONTROL!$C$9, $C$13, 100%, $E$13) + CHOOSE(CONTROL!$C$28, 0.0021, 0)</f>
        <v>49.149499999999996</v>
      </c>
      <c r="E447" s="4">
        <f>227.818954043383 * CHOOSE(CONTROL!$C$9, $C$13, 100%, $E$13) + CHOOSE(CONTROL!$C$28, 0.0021, 0)</f>
        <v>227.82105404338301</v>
      </c>
    </row>
    <row r="448" spans="1:5" ht="15">
      <c r="A448" s="13">
        <v>54788</v>
      </c>
      <c r="B448" s="4">
        <f>34.2768 * CHOOSE(CONTROL!$C$9, $C$13, 100%, $E$13) + CHOOSE(CONTROL!$C$28, 0.0272, 0)</f>
        <v>34.304000000000002</v>
      </c>
      <c r="C448" s="4">
        <f>33.9136 * CHOOSE(CONTROL!$C$9, $C$13, 100%, $E$13) + CHOOSE(CONTROL!$C$28, 0.0272, 0)</f>
        <v>33.940800000000003</v>
      </c>
      <c r="D448" s="4">
        <f>47.4668 * CHOOSE(CONTROL!$C$9, $C$13, 100%, $E$13) + CHOOSE(CONTROL!$C$28, 0.0021, 0)</f>
        <v>47.468899999999998</v>
      </c>
      <c r="E448" s="4">
        <f>224.251006824914 * CHOOSE(CONTROL!$C$9, $C$13, 100%, $E$13) + CHOOSE(CONTROL!$C$28, 0.0021, 0)</f>
        <v>224.253106824914</v>
      </c>
    </row>
    <row r="449" spans="1:5" ht="15">
      <c r="A449" s="13">
        <v>54819</v>
      </c>
      <c r="B449" s="4">
        <f>32.8184 * CHOOSE(CONTROL!$C$9, $C$13, 100%, $E$13) + CHOOSE(CONTROL!$C$28, 0.0272, 0)</f>
        <v>32.845599999999997</v>
      </c>
      <c r="C449" s="4">
        <f>32.4551 * CHOOSE(CONTROL!$C$9, $C$13, 100%, $E$13) + CHOOSE(CONTROL!$C$28, 0.0272, 0)</f>
        <v>32.482300000000002</v>
      </c>
      <c r="D449" s="4">
        <f>45.6155 * CHOOSE(CONTROL!$C$9, $C$13, 100%, $E$13) + CHOOSE(CONTROL!$C$28, 0.0021, 0)</f>
        <v>45.617599999999996</v>
      </c>
      <c r="E449" s="4">
        <f>214.910041166846 * CHOOSE(CONTROL!$C$9, $C$13, 100%, $E$13) + CHOOSE(CONTROL!$C$28, 0.0021, 0)</f>
        <v>214.91214116684603</v>
      </c>
    </row>
    <row r="450" spans="1:5" ht="15">
      <c r="A450" s="13">
        <v>54847</v>
      </c>
      <c r="B450" s="4">
        <f>33.5793 * CHOOSE(CONTROL!$C$9, $C$13, 100%, $E$13) + CHOOSE(CONTROL!$C$28, 0.0272, 0)</f>
        <v>33.606500000000004</v>
      </c>
      <c r="C450" s="4">
        <f>33.216 * CHOOSE(CONTROL!$C$9, $C$13, 100%, $E$13) + CHOOSE(CONTROL!$C$28, 0.0272, 0)</f>
        <v>33.243200000000002</v>
      </c>
      <c r="D450" s="4">
        <f>47.1601 * CHOOSE(CONTROL!$C$9, $C$13, 100%, $E$13) + CHOOSE(CONTROL!$C$28, 0.0021, 0)</f>
        <v>47.162199999999999</v>
      </c>
      <c r="E450" s="4">
        <f>220.012852485157 * CHOOSE(CONTROL!$C$9, $C$13, 100%, $E$13) + CHOOSE(CONTROL!$C$28, 0.0021, 0)</f>
        <v>220.01495248515701</v>
      </c>
    </row>
    <row r="451" spans="1:5" ht="15">
      <c r="A451" s="13">
        <v>54878</v>
      </c>
      <c r="B451" s="4">
        <f>35.5774 * CHOOSE(CONTROL!$C$9, $C$13, 100%, $E$13) + CHOOSE(CONTROL!$C$28, 0.0272, 0)</f>
        <v>35.604599999999998</v>
      </c>
      <c r="C451" s="4">
        <f>35.2141 * CHOOSE(CONTROL!$C$9, $C$13, 100%, $E$13) + CHOOSE(CONTROL!$C$28, 0.0272, 0)</f>
        <v>35.241300000000003</v>
      </c>
      <c r="D451" s="4">
        <f>49.5781 * CHOOSE(CONTROL!$C$9, $C$13, 100%, $E$13) + CHOOSE(CONTROL!$C$28, 0.0021, 0)</f>
        <v>49.580199999999998</v>
      </c>
      <c r="E451" s="4">
        <f>233.413106186904 * CHOOSE(CONTROL!$C$9, $C$13, 100%, $E$13) + CHOOSE(CONTROL!$C$28, 0.0021, 0)</f>
        <v>233.41520618690402</v>
      </c>
    </row>
    <row r="452" spans="1:5" ht="15">
      <c r="A452" s="13">
        <v>54908</v>
      </c>
      <c r="B452" s="4">
        <f>36.9971 * CHOOSE(CONTROL!$C$9, $C$13, 100%, $E$13) + CHOOSE(CONTROL!$C$28, 0.0272, 0)</f>
        <v>37.024300000000004</v>
      </c>
      <c r="C452" s="4">
        <f>36.6338 * CHOOSE(CONTROL!$C$9, $C$13, 100%, $E$13) + CHOOSE(CONTROL!$C$28, 0.0272, 0)</f>
        <v>36.661000000000001</v>
      </c>
      <c r="D452" s="4">
        <f>50.9709 * CHOOSE(CONTROL!$C$9, $C$13, 100%, $E$13) + CHOOSE(CONTROL!$C$28, 0.0021, 0)</f>
        <v>50.972999999999999</v>
      </c>
      <c r="E452" s="4">
        <f>242.934165023857 * CHOOSE(CONTROL!$C$9, $C$13, 100%, $E$13) + CHOOSE(CONTROL!$C$28, 0.0021, 0)</f>
        <v>242.936265023857</v>
      </c>
    </row>
    <row r="453" spans="1:5" ht="15">
      <c r="A453" s="13">
        <v>54939</v>
      </c>
      <c r="B453" s="4">
        <f>37.8644 * CHOOSE(CONTROL!$C$9, $C$13, 100%, $E$13) + CHOOSE(CONTROL!$C$28, 0.0272, 0)</f>
        <v>37.891600000000004</v>
      </c>
      <c r="C453" s="4">
        <f>37.5012 * CHOOSE(CONTROL!$C$9, $C$13, 100%, $E$13) + CHOOSE(CONTROL!$C$28, 0.0272, 0)</f>
        <v>37.528399999999998</v>
      </c>
      <c r="D453" s="4">
        <f>50.4205 * CHOOSE(CONTROL!$C$9, $C$13, 100%, $E$13) + CHOOSE(CONTROL!$C$28, 0.0021, 0)</f>
        <v>50.422599999999996</v>
      </c>
      <c r="E453" s="4">
        <f>248.751303785301 * CHOOSE(CONTROL!$C$9, $C$13, 100%, $E$13) + CHOOSE(CONTROL!$C$28, 0.0021, 0)</f>
        <v>248.753403785301</v>
      </c>
    </row>
    <row r="454" spans="1:5" ht="15">
      <c r="A454" s="13">
        <v>54969</v>
      </c>
      <c r="B454" s="4">
        <f>37.9818 * CHOOSE(CONTROL!$C$9, $C$13, 100%, $E$13) + CHOOSE(CONTROL!$C$28, 0.0272, 0)</f>
        <v>38.009</v>
      </c>
      <c r="C454" s="4">
        <f>37.6185 * CHOOSE(CONTROL!$C$9, $C$13, 100%, $E$13) + CHOOSE(CONTROL!$C$28, 0.0272, 0)</f>
        <v>37.645699999999998</v>
      </c>
      <c r="D454" s="4">
        <f>50.8687 * CHOOSE(CONTROL!$C$9, $C$13, 100%, $E$13) + CHOOSE(CONTROL!$C$28, 0.0021, 0)</f>
        <v>50.870799999999996</v>
      </c>
      <c r="E454" s="4">
        <f>249.538386801347 * CHOOSE(CONTROL!$C$9, $C$13, 100%, $E$13) + CHOOSE(CONTROL!$C$28, 0.0021, 0)</f>
        <v>249.54048680134701</v>
      </c>
    </row>
    <row r="455" spans="1:5" ht="15">
      <c r="A455" s="13">
        <v>55000</v>
      </c>
      <c r="B455" s="4">
        <f>37.97 * CHOOSE(CONTROL!$C$9, $C$13, 100%, $E$13) + CHOOSE(CONTROL!$C$28, 0.0272, 0)</f>
        <v>37.997199999999999</v>
      </c>
      <c r="C455" s="4">
        <f>37.6067 * CHOOSE(CONTROL!$C$9, $C$13, 100%, $E$13) + CHOOSE(CONTROL!$C$28, 0.0272, 0)</f>
        <v>37.633899999999997</v>
      </c>
      <c r="D455" s="4">
        <f>51.6775 * CHOOSE(CONTROL!$C$9, $C$13, 100%, $E$13) + CHOOSE(CONTROL!$C$28, 0.0021, 0)</f>
        <v>51.679600000000001</v>
      </c>
      <c r="E455" s="4">
        <f>249.459017085443 * CHOOSE(CONTROL!$C$9, $C$13, 100%, $E$13) + CHOOSE(CONTROL!$C$28, 0.0021, 0)</f>
        <v>249.46111708544302</v>
      </c>
    </row>
    <row r="456" spans="1:5" ht="15">
      <c r="A456" s="13">
        <v>55031</v>
      </c>
      <c r="B456" s="4">
        <f>38.8605 * CHOOSE(CONTROL!$C$9, $C$13, 100%, $E$13) + CHOOSE(CONTROL!$C$28, 0.0272, 0)</f>
        <v>38.887700000000002</v>
      </c>
      <c r="C456" s="4">
        <f>38.4973 * CHOOSE(CONTROL!$C$9, $C$13, 100%, $E$13) + CHOOSE(CONTROL!$C$28, 0.0272, 0)</f>
        <v>38.524500000000003</v>
      </c>
      <c r="D456" s="4">
        <f>51.1434 * CHOOSE(CONTROL!$C$9, $C$13, 100%, $E$13) + CHOOSE(CONTROL!$C$28, 0.0021, 0)</f>
        <v>51.145499999999998</v>
      </c>
      <c r="E456" s="4">
        <f>255.431588207199 * CHOOSE(CONTROL!$C$9, $C$13, 100%, $E$13) + CHOOSE(CONTROL!$C$28, 0.0021, 0)</f>
        <v>255.43368820719903</v>
      </c>
    </row>
    <row r="457" spans="1:5" ht="15">
      <c r="A457" s="13">
        <v>55061</v>
      </c>
      <c r="B457" s="4">
        <f>37.3427 * CHOOSE(CONTROL!$C$9, $C$13, 100%, $E$13) + CHOOSE(CONTROL!$C$28, 0.0272, 0)</f>
        <v>37.369900000000001</v>
      </c>
      <c r="C457" s="4">
        <f>36.9794 * CHOOSE(CONTROL!$C$9, $C$13, 100%, $E$13) + CHOOSE(CONTROL!$C$28, 0.0272, 0)</f>
        <v>37.006599999999999</v>
      </c>
      <c r="D457" s="4">
        <f>50.891 * CHOOSE(CONTROL!$C$9, $C$13, 100%, $E$13) + CHOOSE(CONTROL!$C$28, 0.0021, 0)</f>
        <v>50.893099999999997</v>
      </c>
      <c r="E457" s="4">
        <f>245.252422142545 * CHOOSE(CONTROL!$C$9, $C$13, 100%, $E$13) + CHOOSE(CONTROL!$C$28, 0.0021, 0)</f>
        <v>245.254522142545</v>
      </c>
    </row>
    <row r="458" spans="1:5" ht="15">
      <c r="A458" s="13">
        <v>55092</v>
      </c>
      <c r="B458" s="4">
        <f>36.1277 * CHOOSE(CONTROL!$C$9, $C$13, 100%, $E$13) + CHOOSE(CONTROL!$C$28, 0.0272, 0)</f>
        <v>36.154899999999998</v>
      </c>
      <c r="C458" s="4">
        <f>35.7644 * CHOOSE(CONTROL!$C$9, $C$13, 100%, $E$13) + CHOOSE(CONTROL!$C$28, 0.0272, 0)</f>
        <v>35.791600000000003</v>
      </c>
      <c r="D458" s="4">
        <f>50.2153 * CHOOSE(CONTROL!$C$9, $C$13, 100%, $E$13) + CHOOSE(CONTROL!$C$28, 0.0021, 0)</f>
        <v>50.217399999999998</v>
      </c>
      <c r="E458" s="4">
        <f>237.103797976428 * CHOOSE(CONTROL!$C$9, $C$13, 100%, $E$13) + CHOOSE(CONTROL!$C$28, 0.0021, 0)</f>
        <v>237.10589797642803</v>
      </c>
    </row>
    <row r="459" spans="1:5" ht="15">
      <c r="A459" s="13">
        <v>55122</v>
      </c>
      <c r="B459" s="4">
        <f>35.3451 * CHOOSE(CONTROL!$C$9, $C$13, 100%, $E$13) + CHOOSE(CONTROL!$C$28, 0.0272, 0)</f>
        <v>35.372300000000003</v>
      </c>
      <c r="C459" s="4">
        <f>34.9818 * CHOOSE(CONTROL!$C$9, $C$13, 100%, $E$13) + CHOOSE(CONTROL!$C$28, 0.0272, 0)</f>
        <v>35.009</v>
      </c>
      <c r="D459" s="4">
        <f>49.983 * CHOOSE(CONTROL!$C$9, $C$13, 100%, $E$13) + CHOOSE(CONTROL!$C$28, 0.0021, 0)</f>
        <v>49.985099999999996</v>
      </c>
      <c r="E459" s="4">
        <f>231.855475512294 * CHOOSE(CONTROL!$C$9, $C$13, 100%, $E$13) + CHOOSE(CONTROL!$C$28, 0.0021, 0)</f>
        <v>231.85757551229401</v>
      </c>
    </row>
    <row r="460" spans="1:5" ht="15">
      <c r="A460" s="13">
        <v>55153</v>
      </c>
      <c r="B460" s="4">
        <f>34.8037 * CHOOSE(CONTROL!$C$9, $C$13, 100%, $E$13) + CHOOSE(CONTROL!$C$28, 0.0272, 0)</f>
        <v>34.8309</v>
      </c>
      <c r="C460" s="4">
        <f>34.4404 * CHOOSE(CONTROL!$C$9, $C$13, 100%, $E$13) + CHOOSE(CONTROL!$C$28, 0.0272, 0)</f>
        <v>34.467599999999997</v>
      </c>
      <c r="D460" s="4">
        <f>48.2728 * CHOOSE(CONTROL!$C$9, $C$13, 100%, $E$13) + CHOOSE(CONTROL!$C$28, 0.0021, 0)</f>
        <v>48.274899999999995</v>
      </c>
      <c r="E460" s="4">
        <f>228.224311009698 * CHOOSE(CONTROL!$C$9, $C$13, 100%, $E$13) + CHOOSE(CONTROL!$C$28, 0.0021, 0)</f>
        <v>228.22641100969801</v>
      </c>
    </row>
    <row r="461" spans="1:5" ht="15">
      <c r="A461" s="13">
        <v>55184</v>
      </c>
      <c r="B461" s="4">
        <f>33.3223 * CHOOSE(CONTROL!$C$9, $C$13, 100%, $E$13) + CHOOSE(CONTROL!$C$28, 0.0272, 0)</f>
        <v>33.349499999999999</v>
      </c>
      <c r="C461" s="4">
        <f>32.959 * CHOOSE(CONTROL!$C$9, $C$13, 100%, $E$13) + CHOOSE(CONTROL!$C$28, 0.0272, 0)</f>
        <v>32.986200000000004</v>
      </c>
      <c r="D461" s="4">
        <f>46.3888 * CHOOSE(CONTROL!$C$9, $C$13, 100%, $E$13) + CHOOSE(CONTROL!$C$28, 0.0021, 0)</f>
        <v>46.390900000000002</v>
      </c>
      <c r="E461" s="4">
        <f>218.717841087169 * CHOOSE(CONTROL!$C$9, $C$13, 100%, $E$13) + CHOOSE(CONTROL!$C$28, 0.0021, 0)</f>
        <v>218.71994108716902</v>
      </c>
    </row>
    <row r="462" spans="1:5" ht="15">
      <c r="A462" s="13">
        <v>55212</v>
      </c>
      <c r="B462" s="4">
        <f>34.0952 * CHOOSE(CONTROL!$C$9, $C$13, 100%, $E$13) + CHOOSE(CONTROL!$C$28, 0.0272, 0)</f>
        <v>34.122399999999999</v>
      </c>
      <c r="C462" s="4">
        <f>33.7319 * CHOOSE(CONTROL!$C$9, $C$13, 100%, $E$13) + CHOOSE(CONTROL!$C$28, 0.0272, 0)</f>
        <v>33.759100000000004</v>
      </c>
      <c r="D462" s="4">
        <f>47.9606 * CHOOSE(CONTROL!$C$9, $C$13, 100%, $E$13) + CHOOSE(CONTROL!$C$28, 0.0021, 0)</f>
        <v>47.962699999999998</v>
      </c>
      <c r="E462" s="4">
        <f>223.911064581783 * CHOOSE(CONTROL!$C$9, $C$13, 100%, $E$13) + CHOOSE(CONTROL!$C$28, 0.0021, 0)</f>
        <v>223.91316458178301</v>
      </c>
    </row>
    <row r="463" spans="1:5" ht="15">
      <c r="A463" s="13">
        <v>55243</v>
      </c>
      <c r="B463" s="4">
        <f>36.1247 * CHOOSE(CONTROL!$C$9, $C$13, 100%, $E$13) + CHOOSE(CONTROL!$C$28, 0.0272, 0)</f>
        <v>36.151899999999998</v>
      </c>
      <c r="C463" s="4">
        <f>35.7614 * CHOOSE(CONTROL!$C$9, $C$13, 100%, $E$13) + CHOOSE(CONTROL!$C$28, 0.0272, 0)</f>
        <v>35.788600000000002</v>
      </c>
      <c r="D463" s="4">
        <f>50.4213 * CHOOSE(CONTROL!$C$9, $C$13, 100%, $E$13) + CHOOSE(CONTROL!$C$28, 0.0021, 0)</f>
        <v>50.423400000000001</v>
      </c>
      <c r="E463" s="4">
        <f>237.548745463297 * CHOOSE(CONTROL!$C$9, $C$13, 100%, $E$13) + CHOOSE(CONTROL!$C$28, 0.0021, 0)</f>
        <v>237.55084546329701</v>
      </c>
    </row>
    <row r="464" spans="1:5" ht="15">
      <c r="A464" s="13">
        <v>55273</v>
      </c>
      <c r="B464" s="4">
        <f>37.5667 * CHOOSE(CONTROL!$C$9, $C$13, 100%, $E$13) + CHOOSE(CONTROL!$C$28, 0.0272, 0)</f>
        <v>37.593899999999998</v>
      </c>
      <c r="C464" s="4">
        <f>37.2034 * CHOOSE(CONTROL!$C$9, $C$13, 100%, $E$13) + CHOOSE(CONTROL!$C$28, 0.0272, 0)</f>
        <v>37.230600000000003</v>
      </c>
      <c r="D464" s="4">
        <f>51.8387 * CHOOSE(CONTROL!$C$9, $C$13, 100%, $E$13) + CHOOSE(CONTROL!$C$28, 0.0021, 0)</f>
        <v>51.840800000000002</v>
      </c>
      <c r="E464" s="4">
        <f>247.238499475607 * CHOOSE(CONTROL!$C$9, $C$13, 100%, $E$13) + CHOOSE(CONTROL!$C$28, 0.0021, 0)</f>
        <v>247.24059947560701</v>
      </c>
    </row>
    <row r="465" spans="1:5" ht="15">
      <c r="A465" s="13">
        <v>55304</v>
      </c>
      <c r="B465" s="4">
        <f>38.4477 * CHOOSE(CONTROL!$C$9, $C$13, 100%, $E$13) + CHOOSE(CONTROL!$C$28, 0.0272, 0)</f>
        <v>38.474899999999998</v>
      </c>
      <c r="C465" s="4">
        <f>38.0844 * CHOOSE(CONTROL!$C$9, $C$13, 100%, $E$13) + CHOOSE(CONTROL!$C$28, 0.0272, 0)</f>
        <v>38.111600000000003</v>
      </c>
      <c r="D465" s="4">
        <f>51.2786 * CHOOSE(CONTROL!$C$9, $C$13, 100%, $E$13) + CHOOSE(CONTROL!$C$28, 0.0021, 0)</f>
        <v>51.280699999999996</v>
      </c>
      <c r="E465" s="4">
        <f>253.158706946136 * CHOOSE(CONTROL!$C$9, $C$13, 100%, $E$13) + CHOOSE(CONTROL!$C$28, 0.0021, 0)</f>
        <v>253.16080694613601</v>
      </c>
    </row>
    <row r="466" spans="1:5" ht="15">
      <c r="A466" s="13">
        <v>55334</v>
      </c>
      <c r="B466" s="4">
        <f>38.5669 * CHOOSE(CONTROL!$C$9, $C$13, 100%, $E$13) + CHOOSE(CONTROL!$C$28, 0.0272, 0)</f>
        <v>38.594099999999997</v>
      </c>
      <c r="C466" s="4">
        <f>38.2036 * CHOOSE(CONTROL!$C$9, $C$13, 100%, $E$13) + CHOOSE(CONTROL!$C$28, 0.0272, 0)</f>
        <v>38.230800000000002</v>
      </c>
      <c r="D466" s="4">
        <f>51.7348 * CHOOSE(CONTROL!$C$9, $C$13, 100%, $E$13) + CHOOSE(CONTROL!$C$28, 0.0021, 0)</f>
        <v>51.736899999999999</v>
      </c>
      <c r="E466" s="4">
        <f>253.959735586264 * CHOOSE(CONTROL!$C$9, $C$13, 100%, $E$13) + CHOOSE(CONTROL!$C$28, 0.0021, 0)</f>
        <v>253.96183558626402</v>
      </c>
    </row>
    <row r="467" spans="1:5" ht="15">
      <c r="A467" s="13">
        <v>55365</v>
      </c>
      <c r="B467" s="4">
        <f>38.5549 * CHOOSE(CONTROL!$C$9, $C$13, 100%, $E$13) + CHOOSE(CONTROL!$C$28, 0.0272, 0)</f>
        <v>38.582100000000004</v>
      </c>
      <c r="C467" s="4">
        <f>38.1916 * CHOOSE(CONTROL!$C$9, $C$13, 100%, $E$13) + CHOOSE(CONTROL!$C$28, 0.0272, 0)</f>
        <v>38.218800000000002</v>
      </c>
      <c r="D467" s="4">
        <f>52.5579 * CHOOSE(CONTROL!$C$9, $C$13, 100%, $E$13) + CHOOSE(CONTROL!$C$28, 0.0021, 0)</f>
        <v>52.559999999999995</v>
      </c>
      <c r="E467" s="4">
        <f>253.878959588941 * CHOOSE(CONTROL!$C$9, $C$13, 100%, $E$13) + CHOOSE(CONTROL!$C$28, 0.0021, 0)</f>
        <v>253.88105958894101</v>
      </c>
    </row>
    <row r="468" spans="1:5" ht="15">
      <c r="A468" s="13">
        <v>55396</v>
      </c>
      <c r="B468" s="4">
        <f>39.4594 * CHOOSE(CONTROL!$C$9, $C$13, 100%, $E$13) + CHOOSE(CONTROL!$C$28, 0.0272, 0)</f>
        <v>39.486600000000003</v>
      </c>
      <c r="C468" s="4">
        <f>39.0962 * CHOOSE(CONTROL!$C$9, $C$13, 100%, $E$13) + CHOOSE(CONTROL!$C$28, 0.0272, 0)</f>
        <v>39.123400000000004</v>
      </c>
      <c r="D468" s="4">
        <f>52.0143 * CHOOSE(CONTROL!$C$9, $C$13, 100%, $E$13) + CHOOSE(CONTROL!$C$28, 0.0021, 0)</f>
        <v>52.016399999999997</v>
      </c>
      <c r="E468" s="4">
        <f>259.957353387562 * CHOOSE(CONTROL!$C$9, $C$13, 100%, $E$13) + CHOOSE(CONTROL!$C$28, 0.0021, 0)</f>
        <v>259.95945338756201</v>
      </c>
    </row>
    <row r="469" spans="1:5" ht="15">
      <c r="A469" s="13">
        <v>55426</v>
      </c>
      <c r="B469" s="4">
        <f>37.9178 * CHOOSE(CONTROL!$C$9, $C$13, 100%, $E$13) + CHOOSE(CONTROL!$C$28, 0.0272, 0)</f>
        <v>37.945</v>
      </c>
      <c r="C469" s="4">
        <f>37.5545 * CHOOSE(CONTROL!$C$9, $C$13, 100%, $E$13) + CHOOSE(CONTROL!$C$28, 0.0272, 0)</f>
        <v>37.581699999999998</v>
      </c>
      <c r="D469" s="4">
        <f>51.7575 * CHOOSE(CONTROL!$C$9, $C$13, 100%, $E$13) + CHOOSE(CONTROL!$C$28, 0.0021, 0)</f>
        <v>51.759599999999999</v>
      </c>
      <c r="E469" s="4">
        <f>249.597831730775 * CHOOSE(CONTROL!$C$9, $C$13, 100%, $E$13) + CHOOSE(CONTROL!$C$28, 0.0021, 0)</f>
        <v>249.59993173077501</v>
      </c>
    </row>
    <row r="470" spans="1:5" ht="15">
      <c r="A470" s="13">
        <v>55457</v>
      </c>
      <c r="B470" s="4">
        <f>36.6836 * CHOOSE(CONTROL!$C$9, $C$13, 100%, $E$13) + CHOOSE(CONTROL!$C$28, 0.0272, 0)</f>
        <v>36.710799999999999</v>
      </c>
      <c r="C470" s="4">
        <f>36.3204 * CHOOSE(CONTROL!$C$9, $C$13, 100%, $E$13) + CHOOSE(CONTROL!$C$28, 0.0272, 0)</f>
        <v>36.3476</v>
      </c>
      <c r="D470" s="4">
        <f>51.0698 * CHOOSE(CONTROL!$C$9, $C$13, 100%, $E$13) + CHOOSE(CONTROL!$C$28, 0.0021, 0)</f>
        <v>51.071899999999999</v>
      </c>
      <c r="E470" s="4">
        <f>241.304829338857 * CHOOSE(CONTROL!$C$9, $C$13, 100%, $E$13) + CHOOSE(CONTROL!$C$28, 0.0021, 0)</f>
        <v>241.306929338857</v>
      </c>
    </row>
    <row r="471" spans="1:5" ht="15">
      <c r="A471" s="13">
        <v>55487</v>
      </c>
      <c r="B471" s="4">
        <f>35.8888 * CHOOSE(CONTROL!$C$9, $C$13, 100%, $E$13) + CHOOSE(CONTROL!$C$28, 0.0272, 0)</f>
        <v>35.916000000000004</v>
      </c>
      <c r="C471" s="4">
        <f>35.5255 * CHOOSE(CONTROL!$C$9, $C$13, 100%, $E$13) + CHOOSE(CONTROL!$C$28, 0.0272, 0)</f>
        <v>35.552700000000002</v>
      </c>
      <c r="D471" s="4">
        <f>50.8334 * CHOOSE(CONTROL!$C$9, $C$13, 100%, $E$13) + CHOOSE(CONTROL!$C$28, 0.0021, 0)</f>
        <v>50.835499999999996</v>
      </c>
      <c r="E471" s="4">
        <f>235.963516515816 * CHOOSE(CONTROL!$C$9, $C$13, 100%, $E$13) + CHOOSE(CONTROL!$C$28, 0.0021, 0)</f>
        <v>235.96561651581601</v>
      </c>
    </row>
    <row r="472" spans="1:5" ht="15">
      <c r="A472" s="13">
        <v>55518</v>
      </c>
      <c r="B472" s="4">
        <f>35.3388 * CHOOSE(CONTROL!$C$9, $C$13, 100%, $E$13) + CHOOSE(CONTROL!$C$28, 0.0272, 0)</f>
        <v>35.366</v>
      </c>
      <c r="C472" s="4">
        <f>34.9755 * CHOOSE(CONTROL!$C$9, $C$13, 100%, $E$13) + CHOOSE(CONTROL!$C$28, 0.0272, 0)</f>
        <v>35.002699999999997</v>
      </c>
      <c r="D472" s="4">
        <f>49.0929 * CHOOSE(CONTROL!$C$9, $C$13, 100%, $E$13) + CHOOSE(CONTROL!$C$28, 0.0021, 0)</f>
        <v>49.094999999999999</v>
      </c>
      <c r="E472" s="4">
        <f>232.268014638249 * CHOOSE(CONTROL!$C$9, $C$13, 100%, $E$13) + CHOOSE(CONTROL!$C$28, 0.0021, 0)</f>
        <v>232.27011463824903</v>
      </c>
    </row>
    <row r="473" spans="1:5" ht="15">
      <c r="A473" s="13">
        <v>55549</v>
      </c>
      <c r="B473" s="4">
        <f>33.8341 * CHOOSE(CONTROL!$C$9, $C$13, 100%, $E$13) + CHOOSE(CONTROL!$C$28, 0.0272, 0)</f>
        <v>33.8613</v>
      </c>
      <c r="C473" s="4">
        <f>33.4709 * CHOOSE(CONTROL!$C$9, $C$13, 100%, $E$13) + CHOOSE(CONTROL!$C$28, 0.0272, 0)</f>
        <v>33.498100000000001</v>
      </c>
      <c r="D473" s="4">
        <f>47.1757 * CHOOSE(CONTROL!$C$9, $C$13, 100%, $E$13) + CHOOSE(CONTROL!$C$28, 0.0021, 0)</f>
        <v>47.177799999999998</v>
      </c>
      <c r="E473" s="4">
        <f>222.593108028364 * CHOOSE(CONTROL!$C$9, $C$13, 100%, $E$13) + CHOOSE(CONTROL!$C$28, 0.0021, 0)</f>
        <v>222.595208028364</v>
      </c>
    </row>
    <row r="474" spans="1:5" ht="15">
      <c r="A474" s="13">
        <v>55577</v>
      </c>
      <c r="B474" s="4">
        <f>34.6191 * CHOOSE(CONTROL!$C$9, $C$13, 100%, $E$13) + CHOOSE(CONTROL!$C$28, 0.0272, 0)</f>
        <v>34.646300000000004</v>
      </c>
      <c r="C474" s="4">
        <f>34.2559 * CHOOSE(CONTROL!$C$9, $C$13, 100%, $E$13) + CHOOSE(CONTROL!$C$28, 0.0272, 0)</f>
        <v>34.283099999999997</v>
      </c>
      <c r="D474" s="4">
        <f>48.7753 * CHOOSE(CONTROL!$C$9, $C$13, 100%, $E$13) + CHOOSE(CONTROL!$C$28, 0.0021, 0)</f>
        <v>48.7774</v>
      </c>
      <c r="E474" s="4">
        <f>227.878345632239 * CHOOSE(CONTROL!$C$9, $C$13, 100%, $E$13) + CHOOSE(CONTROL!$C$28, 0.0021, 0)</f>
        <v>227.880445632239</v>
      </c>
    </row>
    <row r="475" spans="1:5" ht="15">
      <c r="A475" s="13">
        <v>55609</v>
      </c>
      <c r="B475" s="4">
        <f>36.6806 * CHOOSE(CONTROL!$C$9, $C$13, 100%, $E$13) + CHOOSE(CONTROL!$C$28, 0.0272, 0)</f>
        <v>36.707799999999999</v>
      </c>
      <c r="C475" s="4">
        <f>36.3173 * CHOOSE(CONTROL!$C$9, $C$13, 100%, $E$13) + CHOOSE(CONTROL!$C$28, 0.0272, 0)</f>
        <v>36.344500000000004</v>
      </c>
      <c r="D475" s="4">
        <f>51.2795 * CHOOSE(CONTROL!$C$9, $C$13, 100%, $E$13) + CHOOSE(CONTROL!$C$28, 0.0021, 0)</f>
        <v>51.281599999999997</v>
      </c>
      <c r="E475" s="4">
        <f>241.757660454597 * CHOOSE(CONTROL!$C$9, $C$13, 100%, $E$13) + CHOOSE(CONTROL!$C$28, 0.0021, 0)</f>
        <v>241.759760454597</v>
      </c>
    </row>
    <row r="476" spans="1:5" ht="15">
      <c r="A476" s="13">
        <v>55639</v>
      </c>
      <c r="B476" s="4">
        <f>38.1452 * CHOOSE(CONTROL!$C$9, $C$13, 100%, $E$13) + CHOOSE(CONTROL!$C$28, 0.0272, 0)</f>
        <v>38.172400000000003</v>
      </c>
      <c r="C476" s="4">
        <f>37.782 * CHOOSE(CONTROL!$C$9, $C$13, 100%, $E$13) + CHOOSE(CONTROL!$C$28, 0.0272, 0)</f>
        <v>37.809199999999997</v>
      </c>
      <c r="D476" s="4">
        <f>52.7219 * CHOOSE(CONTROL!$C$9, $C$13, 100%, $E$13) + CHOOSE(CONTROL!$C$28, 0.0021, 0)</f>
        <v>52.723999999999997</v>
      </c>
      <c r="E476" s="4">
        <f>251.619098602072 * CHOOSE(CONTROL!$C$9, $C$13, 100%, $E$13) + CHOOSE(CONTROL!$C$28, 0.0021, 0)</f>
        <v>251.62119860207201</v>
      </c>
    </row>
    <row r="477" spans="1:5" ht="15">
      <c r="A477" s="13">
        <v>55670</v>
      </c>
      <c r="B477" s="4">
        <f>39.0401 * CHOOSE(CONTROL!$C$9, $C$13, 100%, $E$13) + CHOOSE(CONTROL!$C$28, 0.0272, 0)</f>
        <v>39.067300000000003</v>
      </c>
      <c r="C477" s="4">
        <f>38.6768 * CHOOSE(CONTROL!$C$9, $C$13, 100%, $E$13) + CHOOSE(CONTROL!$C$28, 0.0272, 0)</f>
        <v>38.704000000000001</v>
      </c>
      <c r="D477" s="4">
        <f>52.1519 * CHOOSE(CONTROL!$C$9, $C$13, 100%, $E$13) + CHOOSE(CONTROL!$C$28, 0.0021, 0)</f>
        <v>52.153999999999996</v>
      </c>
      <c r="E477" s="4">
        <f>257.644200964492 * CHOOSE(CONTROL!$C$9, $C$13, 100%, $E$13) + CHOOSE(CONTROL!$C$28, 0.0021, 0)</f>
        <v>257.64630096449196</v>
      </c>
    </row>
    <row r="478" spans="1:5" ht="15">
      <c r="A478" s="13">
        <v>55700</v>
      </c>
      <c r="B478" s="4">
        <f>39.1612 * CHOOSE(CONTROL!$C$9, $C$13, 100%, $E$13) + CHOOSE(CONTROL!$C$28, 0.0272, 0)</f>
        <v>39.188400000000001</v>
      </c>
      <c r="C478" s="4">
        <f>38.7979 * CHOOSE(CONTROL!$C$9, $C$13, 100%, $E$13) + CHOOSE(CONTROL!$C$28, 0.0272, 0)</f>
        <v>38.825099999999999</v>
      </c>
      <c r="D478" s="4">
        <f>52.6161 * CHOOSE(CONTROL!$C$9, $C$13, 100%, $E$13) + CHOOSE(CONTROL!$C$28, 0.0021, 0)</f>
        <v>52.618200000000002</v>
      </c>
      <c r="E478" s="4">
        <f>258.459422318816 * CHOOSE(CONTROL!$C$9, $C$13, 100%, $E$13) + CHOOSE(CONTROL!$C$28, 0.0021, 0)</f>
        <v>258.46152231881598</v>
      </c>
    </row>
    <row r="479" spans="1:5" ht="15">
      <c r="A479" s="13">
        <v>55731</v>
      </c>
      <c r="B479" s="4">
        <f>39.149 * CHOOSE(CONTROL!$C$9, $C$13, 100%, $E$13) + CHOOSE(CONTROL!$C$28, 0.0272, 0)</f>
        <v>39.176200000000001</v>
      </c>
      <c r="C479" s="4">
        <f>38.7857 * CHOOSE(CONTROL!$C$9, $C$13, 100%, $E$13) + CHOOSE(CONTROL!$C$28, 0.0272, 0)</f>
        <v>38.812899999999999</v>
      </c>
      <c r="D479" s="4">
        <f>53.4538 * CHOOSE(CONTROL!$C$9, $C$13, 100%, $E$13) + CHOOSE(CONTROL!$C$28, 0.0021, 0)</f>
        <v>53.4559</v>
      </c>
      <c r="E479" s="4">
        <f>258.377215123422 * CHOOSE(CONTROL!$C$9, $C$13, 100%, $E$13) + CHOOSE(CONTROL!$C$28, 0.0021, 0)</f>
        <v>258.37931512342197</v>
      </c>
    </row>
    <row r="480" spans="1:5" ht="15">
      <c r="A480" s="13">
        <v>55762</v>
      </c>
      <c r="B480" s="4">
        <f>40.0678 * CHOOSE(CONTROL!$C$9, $C$13, 100%, $E$13) + CHOOSE(CONTROL!$C$28, 0.0272, 0)</f>
        <v>40.094999999999999</v>
      </c>
      <c r="C480" s="4">
        <f>39.7045 * CHOOSE(CONTROL!$C$9, $C$13, 100%, $E$13) + CHOOSE(CONTROL!$C$28, 0.0272, 0)</f>
        <v>39.731700000000004</v>
      </c>
      <c r="D480" s="4">
        <f>52.9006 * CHOOSE(CONTROL!$C$9, $C$13, 100%, $E$13) + CHOOSE(CONTROL!$C$28, 0.0021, 0)</f>
        <v>52.902699999999996</v>
      </c>
      <c r="E480" s="4">
        <f>264.563306576822 * CHOOSE(CONTROL!$C$9, $C$13, 100%, $E$13) + CHOOSE(CONTROL!$C$28, 0.0021, 0)</f>
        <v>264.565406576822</v>
      </c>
    </row>
    <row r="481" spans="1:5" ht="15">
      <c r="A481" s="13">
        <v>55792</v>
      </c>
      <c r="B481" s="4">
        <f>38.5019 * CHOOSE(CONTROL!$C$9, $C$13, 100%, $E$13) + CHOOSE(CONTROL!$C$28, 0.0272, 0)</f>
        <v>38.5291</v>
      </c>
      <c r="C481" s="4">
        <f>38.1386 * CHOOSE(CONTROL!$C$9, $C$13, 100%, $E$13) + CHOOSE(CONTROL!$C$28, 0.0272, 0)</f>
        <v>38.165799999999997</v>
      </c>
      <c r="D481" s="4">
        <f>52.6392 * CHOOSE(CONTROL!$C$9, $C$13, 100%, $E$13) + CHOOSE(CONTROL!$C$28, 0.0021, 0)</f>
        <v>52.641300000000001</v>
      </c>
      <c r="E481" s="4">
        <f>254.020233767539 * CHOOSE(CONTROL!$C$9, $C$13, 100%, $E$13) + CHOOSE(CONTROL!$C$28, 0.0021, 0)</f>
        <v>254.02233376753901</v>
      </c>
    </row>
    <row r="482" spans="1:5" ht="15">
      <c r="A482" s="13">
        <v>55823</v>
      </c>
      <c r="B482" s="4">
        <f>37.2483 * CHOOSE(CONTROL!$C$9, $C$13, 100%, $E$13) + CHOOSE(CONTROL!$C$28, 0.0272, 0)</f>
        <v>37.275500000000001</v>
      </c>
      <c r="C482" s="4">
        <f>36.885 * CHOOSE(CONTROL!$C$9, $C$13, 100%, $E$13) + CHOOSE(CONTROL!$C$28, 0.0272, 0)</f>
        <v>36.912199999999999</v>
      </c>
      <c r="D482" s="4">
        <f>51.9394 * CHOOSE(CONTROL!$C$9, $C$13, 100%, $E$13) + CHOOSE(CONTROL!$C$28, 0.0021, 0)</f>
        <v>51.941499999999998</v>
      </c>
      <c r="E482" s="4">
        <f>245.580295040419 * CHOOSE(CONTROL!$C$9, $C$13, 100%, $E$13) + CHOOSE(CONTROL!$C$28, 0.0021, 0)</f>
        <v>245.58239504041902</v>
      </c>
    </row>
    <row r="483" spans="1:5" ht="15">
      <c r="A483" s="13">
        <v>55853</v>
      </c>
      <c r="B483" s="4">
        <f>36.4409 * CHOOSE(CONTROL!$C$9, $C$13, 100%, $E$13) + CHOOSE(CONTROL!$C$28, 0.0272, 0)</f>
        <v>36.4681</v>
      </c>
      <c r="C483" s="4">
        <f>36.0777 * CHOOSE(CONTROL!$C$9, $C$13, 100%, $E$13) + CHOOSE(CONTROL!$C$28, 0.0272, 0)</f>
        <v>36.104900000000001</v>
      </c>
      <c r="D483" s="4">
        <f>51.6989 * CHOOSE(CONTROL!$C$9, $C$13, 100%, $E$13) + CHOOSE(CONTROL!$C$28, 0.0021, 0)</f>
        <v>51.701000000000001</v>
      </c>
      <c r="E483" s="4">
        <f>240.144344244989 * CHOOSE(CONTROL!$C$9, $C$13, 100%, $E$13) + CHOOSE(CONTROL!$C$28, 0.0021, 0)</f>
        <v>240.146444244989</v>
      </c>
    </row>
    <row r="484" spans="1:5" ht="15">
      <c r="A484" s="13">
        <v>55884</v>
      </c>
      <c r="B484" s="4">
        <f>35.8823 * CHOOSE(CONTROL!$C$9, $C$13, 100%, $E$13) + CHOOSE(CONTROL!$C$28, 0.0272, 0)</f>
        <v>35.909500000000001</v>
      </c>
      <c r="C484" s="4">
        <f>35.5191 * CHOOSE(CONTROL!$C$9, $C$13, 100%, $E$13) + CHOOSE(CONTROL!$C$28, 0.0272, 0)</f>
        <v>35.546300000000002</v>
      </c>
      <c r="D484" s="4">
        <f>49.9276 * CHOOSE(CONTROL!$C$9, $C$13, 100%, $E$13) + CHOOSE(CONTROL!$C$28, 0.0021, 0)</f>
        <v>49.929699999999997</v>
      </c>
      <c r="E484" s="4">
        <f>236.383365055712 * CHOOSE(CONTROL!$C$9, $C$13, 100%, $E$13) + CHOOSE(CONTROL!$C$28, 0.0021, 0)</f>
        <v>236.38546505571202</v>
      </c>
    </row>
    <row r="485" spans="1:5" ht="15">
      <c r="A485" s="13">
        <v>55915</v>
      </c>
      <c r="B485" s="4">
        <f>34.354 * CHOOSE(CONTROL!$C$9, $C$13, 100%, $E$13) + CHOOSE(CONTROL!$C$28, 0.0272, 0)</f>
        <v>34.3812</v>
      </c>
      <c r="C485" s="4">
        <f>33.9907 * CHOOSE(CONTROL!$C$9, $C$13, 100%, $E$13) + CHOOSE(CONTROL!$C$28, 0.0272, 0)</f>
        <v>34.017899999999997</v>
      </c>
      <c r="D485" s="4">
        <f>47.9765 * CHOOSE(CONTROL!$C$9, $C$13, 100%, $E$13) + CHOOSE(CONTROL!$C$28, 0.0021, 0)</f>
        <v>47.9786</v>
      </c>
      <c r="E485" s="4">
        <f>226.537037378584 * CHOOSE(CONTROL!$C$9, $C$13, 100%, $E$13) + CHOOSE(CONTROL!$C$28, 0.0021, 0)</f>
        <v>226.539137378584</v>
      </c>
    </row>
    <row r="486" spans="1:5" ht="15">
      <c r="A486" s="13">
        <v>55943</v>
      </c>
      <c r="B486" s="4">
        <f>35.1514 * CHOOSE(CONTROL!$C$9, $C$13, 100%, $E$13) + CHOOSE(CONTROL!$C$28, 0.0272, 0)</f>
        <v>35.178600000000003</v>
      </c>
      <c r="C486" s="4">
        <f>34.7881 * CHOOSE(CONTROL!$C$9, $C$13, 100%, $E$13) + CHOOSE(CONTROL!$C$28, 0.0272, 0)</f>
        <v>34.815300000000001</v>
      </c>
      <c r="D486" s="4">
        <f>49.6044 * CHOOSE(CONTROL!$C$9, $C$13, 100%, $E$13) + CHOOSE(CONTROL!$C$28, 0.0021, 0)</f>
        <v>49.606499999999997</v>
      </c>
      <c r="E486" s="4">
        <f>231.915919407901 * CHOOSE(CONTROL!$C$9, $C$13, 100%, $E$13) + CHOOSE(CONTROL!$C$28, 0.0021, 0)</f>
        <v>231.918019407901</v>
      </c>
    </row>
    <row r="487" spans="1:5" ht="15">
      <c r="A487" s="13">
        <v>55974</v>
      </c>
      <c r="B487" s="4">
        <f>37.2452 * CHOOSE(CONTROL!$C$9, $C$13, 100%, $E$13) + CHOOSE(CONTROL!$C$28, 0.0272, 0)</f>
        <v>37.272399999999998</v>
      </c>
      <c r="C487" s="4">
        <f>36.8819 * CHOOSE(CONTROL!$C$9, $C$13, 100%, $E$13) + CHOOSE(CONTROL!$C$28, 0.0272, 0)</f>
        <v>36.909100000000002</v>
      </c>
      <c r="D487" s="4">
        <f>52.1528 * CHOOSE(CONTROL!$C$9, $C$13, 100%, $E$13) + CHOOSE(CONTROL!$C$28, 0.0021, 0)</f>
        <v>52.154899999999998</v>
      </c>
      <c r="E487" s="4">
        <f>246.041149468038 * CHOOSE(CONTROL!$C$9, $C$13, 100%, $E$13) + CHOOSE(CONTROL!$C$28, 0.0021, 0)</f>
        <v>246.043249468038</v>
      </c>
    </row>
    <row r="488" spans="1:5" ht="15">
      <c r="A488" s="13">
        <v>56004</v>
      </c>
      <c r="B488" s="4">
        <f>38.7329 * CHOOSE(CONTROL!$C$9, $C$13, 100%, $E$13) + CHOOSE(CONTROL!$C$28, 0.0272, 0)</f>
        <v>38.760100000000001</v>
      </c>
      <c r="C488" s="4">
        <f>38.3696 * CHOOSE(CONTROL!$C$9, $C$13, 100%, $E$13) + CHOOSE(CONTROL!$C$28, 0.0272, 0)</f>
        <v>38.396799999999999</v>
      </c>
      <c r="D488" s="4">
        <f>53.6207 * CHOOSE(CONTROL!$C$9, $C$13, 100%, $E$13) + CHOOSE(CONTROL!$C$28, 0.0021, 0)</f>
        <v>53.622799999999998</v>
      </c>
      <c r="E488" s="4">
        <f>256.077313669207 * CHOOSE(CONTROL!$C$9, $C$13, 100%, $E$13) + CHOOSE(CONTROL!$C$28, 0.0021, 0)</f>
        <v>256.07941366920699</v>
      </c>
    </row>
    <row r="489" spans="1:5" ht="15">
      <c r="A489" s="13">
        <v>56035</v>
      </c>
      <c r="B489" s="4">
        <f>39.6419 * CHOOSE(CONTROL!$C$9, $C$13, 100%, $E$13) + CHOOSE(CONTROL!$C$28, 0.0272, 0)</f>
        <v>39.6691</v>
      </c>
      <c r="C489" s="4">
        <f>39.2786 * CHOOSE(CONTROL!$C$9, $C$13, 100%, $E$13) + CHOOSE(CONTROL!$C$28, 0.0272, 0)</f>
        <v>39.305799999999998</v>
      </c>
      <c r="D489" s="4">
        <f>53.0406 * CHOOSE(CONTROL!$C$9, $C$13, 100%, $E$13) + CHOOSE(CONTROL!$C$28, 0.0021, 0)</f>
        <v>53.042699999999996</v>
      </c>
      <c r="E489" s="4">
        <f>262.209169462835 * CHOOSE(CONTROL!$C$9, $C$13, 100%, $E$13) + CHOOSE(CONTROL!$C$28, 0.0021, 0)</f>
        <v>262.21126946283499</v>
      </c>
    </row>
    <row r="490" spans="1:5" ht="15">
      <c r="A490" s="13">
        <v>56065</v>
      </c>
      <c r="B490" s="4">
        <f>39.7648 * CHOOSE(CONTROL!$C$9, $C$13, 100%, $E$13) + CHOOSE(CONTROL!$C$28, 0.0272, 0)</f>
        <v>39.792000000000002</v>
      </c>
      <c r="C490" s="4">
        <f>39.4016 * CHOOSE(CONTROL!$C$9, $C$13, 100%, $E$13) + CHOOSE(CONTROL!$C$28, 0.0272, 0)</f>
        <v>39.428800000000003</v>
      </c>
      <c r="D490" s="4">
        <f>53.5131 * CHOOSE(CONTROL!$C$9, $C$13, 100%, $E$13) + CHOOSE(CONTROL!$C$28, 0.0021, 0)</f>
        <v>53.5152</v>
      </c>
      <c r="E490" s="4">
        <f>263.038834999437 * CHOOSE(CONTROL!$C$9, $C$13, 100%, $E$13) + CHOOSE(CONTROL!$C$28, 0.0021, 0)</f>
        <v>263.04093499943696</v>
      </c>
    </row>
    <row r="491" spans="1:5" ht="15">
      <c r="A491" s="13">
        <v>56096</v>
      </c>
      <c r="B491" s="4">
        <f>39.7524 * CHOOSE(CONTROL!$C$9, $C$13, 100%, $E$13) + CHOOSE(CONTROL!$C$28, 0.0272, 0)</f>
        <v>39.779600000000002</v>
      </c>
      <c r="C491" s="4">
        <f>39.3892 * CHOOSE(CONTROL!$C$9, $C$13, 100%, $E$13) + CHOOSE(CONTROL!$C$28, 0.0272, 0)</f>
        <v>39.416400000000003</v>
      </c>
      <c r="D491" s="4">
        <f>54.3655 * CHOOSE(CONTROL!$C$9, $C$13, 100%, $E$13) + CHOOSE(CONTROL!$C$28, 0.0021, 0)</f>
        <v>54.367599999999996</v>
      </c>
      <c r="E491" s="4">
        <f>262.955171247847 * CHOOSE(CONTROL!$C$9, $C$13, 100%, $E$13) + CHOOSE(CONTROL!$C$28, 0.0021, 0)</f>
        <v>262.95727124784696</v>
      </c>
    </row>
    <row r="492" spans="1:5" ht="15">
      <c r="A492" s="13">
        <v>56127</v>
      </c>
      <c r="B492" s="4">
        <f>40.6857 * CHOOSE(CONTROL!$C$9, $C$13, 100%, $E$13) + CHOOSE(CONTROL!$C$28, 0.0272, 0)</f>
        <v>40.712899999999998</v>
      </c>
      <c r="C492" s="4">
        <f>40.3224 * CHOOSE(CONTROL!$C$9, $C$13, 100%, $E$13) + CHOOSE(CONTROL!$C$28, 0.0272, 0)</f>
        <v>40.349600000000002</v>
      </c>
      <c r="D492" s="4">
        <f>53.8025 * CHOOSE(CONTROL!$C$9, $C$13, 100%, $E$13) + CHOOSE(CONTROL!$C$28, 0.0021, 0)</f>
        <v>53.804600000000001</v>
      </c>
      <c r="E492" s="4">
        <f>269.250868555006 * CHOOSE(CONTROL!$C$9, $C$13, 100%, $E$13) + CHOOSE(CONTROL!$C$28, 0.0021, 0)</f>
        <v>269.25296855500596</v>
      </c>
    </row>
    <row r="493" spans="1:5" ht="15">
      <c r="A493" s="13">
        <v>56157</v>
      </c>
      <c r="B493" s="4">
        <f>39.0951 * CHOOSE(CONTROL!$C$9, $C$13, 100%, $E$13) + CHOOSE(CONTROL!$C$28, 0.0272, 0)</f>
        <v>39.122300000000003</v>
      </c>
      <c r="C493" s="4">
        <f>38.7319 * CHOOSE(CONTROL!$C$9, $C$13, 100%, $E$13) + CHOOSE(CONTROL!$C$28, 0.0272, 0)</f>
        <v>38.759100000000004</v>
      </c>
      <c r="D493" s="4">
        <f>53.5366 * CHOOSE(CONTROL!$C$9, $C$13, 100%, $E$13) + CHOOSE(CONTROL!$C$28, 0.0021, 0)</f>
        <v>53.538699999999999</v>
      </c>
      <c r="E493" s="4">
        <f>258.520992413569 * CHOOSE(CONTROL!$C$9, $C$13, 100%, $E$13) + CHOOSE(CONTROL!$C$28, 0.0021, 0)</f>
        <v>258.52309241356897</v>
      </c>
    </row>
    <row r="494" spans="1:5" ht="15">
      <c r="A494" s="13">
        <v>56188</v>
      </c>
      <c r="B494" s="4">
        <f>37.8219 * CHOOSE(CONTROL!$C$9, $C$13, 100%, $E$13) + CHOOSE(CONTROL!$C$28, 0.0272, 0)</f>
        <v>37.8491</v>
      </c>
      <c r="C494" s="4">
        <f>37.4586 * CHOOSE(CONTROL!$C$9, $C$13, 100%, $E$13) + CHOOSE(CONTROL!$C$28, 0.0272, 0)</f>
        <v>37.485799999999998</v>
      </c>
      <c r="D494" s="4">
        <f>52.8244 * CHOOSE(CONTROL!$C$9, $C$13, 100%, $E$13) + CHOOSE(CONTROL!$C$28, 0.0021, 0)</f>
        <v>52.826499999999996</v>
      </c>
      <c r="E494" s="4">
        <f>249.93151391698 * CHOOSE(CONTROL!$C$9, $C$13, 100%, $E$13) + CHOOSE(CONTROL!$C$28, 0.0021, 0)</f>
        <v>249.93361391698002</v>
      </c>
    </row>
    <row r="495" spans="1:5" ht="15">
      <c r="A495" s="13">
        <v>56218</v>
      </c>
      <c r="B495" s="4">
        <f>37.0018 * CHOOSE(CONTROL!$C$9, $C$13, 100%, $E$13) + CHOOSE(CONTROL!$C$28, 0.0272, 0)</f>
        <v>37.029000000000003</v>
      </c>
      <c r="C495" s="4">
        <f>36.6385 * CHOOSE(CONTROL!$C$9, $C$13, 100%, $E$13) + CHOOSE(CONTROL!$C$28, 0.0272, 0)</f>
        <v>36.665700000000001</v>
      </c>
      <c r="D495" s="4">
        <f>52.5796 * CHOOSE(CONTROL!$C$9, $C$13, 100%, $E$13) + CHOOSE(CONTROL!$C$28, 0.0021, 0)</f>
        <v>52.581699999999998</v>
      </c>
      <c r="E495" s="4">
        <f>244.399248343081 * CHOOSE(CONTROL!$C$9, $C$13, 100%, $E$13) + CHOOSE(CONTROL!$C$28, 0.0021, 0)</f>
        <v>244.40134834308103</v>
      </c>
    </row>
    <row r="496" spans="1:5" ht="15">
      <c r="A496" s="13">
        <v>56249</v>
      </c>
      <c r="B496" s="4">
        <f>36.4344 * CHOOSE(CONTROL!$C$9, $C$13, 100%, $E$13) + CHOOSE(CONTROL!$C$28, 0.0272, 0)</f>
        <v>36.461599999999997</v>
      </c>
      <c r="C496" s="4">
        <f>36.0712 * CHOOSE(CONTROL!$C$9, $C$13, 100%, $E$13) + CHOOSE(CONTROL!$C$28, 0.0272, 0)</f>
        <v>36.098399999999998</v>
      </c>
      <c r="D496" s="4">
        <f>50.777 * CHOOSE(CONTROL!$C$9, $C$13, 100%, $E$13) + CHOOSE(CONTROL!$C$28, 0.0021, 0)</f>
        <v>50.7791</v>
      </c>
      <c r="E496" s="4">
        <f>240.571631707832 * CHOOSE(CONTROL!$C$9, $C$13, 100%, $E$13) + CHOOSE(CONTROL!$C$28, 0.0021, 0)</f>
        <v>240.57373170783202</v>
      </c>
    </row>
    <row r="497" spans="1:5" ht="15">
      <c r="A497" s="13">
        <v>56280</v>
      </c>
      <c r="B497" s="4">
        <f>34.8821 * CHOOSE(CONTROL!$C$9, $C$13, 100%, $E$13) + CHOOSE(CONTROL!$C$28, 0.0272, 0)</f>
        <v>34.909300000000002</v>
      </c>
      <c r="C497" s="4">
        <f>34.5188 * CHOOSE(CONTROL!$C$9, $C$13, 100%, $E$13) + CHOOSE(CONTROL!$C$28, 0.0272, 0)</f>
        <v>34.545999999999999</v>
      </c>
      <c r="D497" s="4">
        <f>48.7914 * CHOOSE(CONTROL!$C$9, $C$13, 100%, $E$13) + CHOOSE(CONTROL!$C$28, 0.0021, 0)</f>
        <v>48.793500000000002</v>
      </c>
      <c r="E497" s="4">
        <f>230.550845705998 * CHOOSE(CONTROL!$C$9, $C$13, 100%, $E$13) + CHOOSE(CONTROL!$C$28, 0.0021, 0)</f>
        <v>230.55294570599801</v>
      </c>
    </row>
    <row r="498" spans="1:5" ht="15">
      <c r="A498" s="13">
        <v>56308</v>
      </c>
      <c r="B498" s="4">
        <f>35.6919 * CHOOSE(CONTROL!$C$9, $C$13, 100%, $E$13) + CHOOSE(CONTROL!$C$28, 0.0272, 0)</f>
        <v>35.719099999999997</v>
      </c>
      <c r="C498" s="4">
        <f>35.3287 * CHOOSE(CONTROL!$C$9, $C$13, 100%, $E$13) + CHOOSE(CONTROL!$C$28, 0.0272, 0)</f>
        <v>35.355899999999998</v>
      </c>
      <c r="D498" s="4">
        <f>50.4481 * CHOOSE(CONTROL!$C$9, $C$13, 100%, $E$13) + CHOOSE(CONTROL!$C$28, 0.0021, 0)</f>
        <v>50.450199999999995</v>
      </c>
      <c r="E498" s="4">
        <f>236.025031363062 * CHOOSE(CONTROL!$C$9, $C$13, 100%, $E$13) + CHOOSE(CONTROL!$C$28, 0.0021, 0)</f>
        <v>236.02713136306201</v>
      </c>
    </row>
    <row r="499" spans="1:5" ht="15">
      <c r="A499" s="13">
        <v>56339</v>
      </c>
      <c r="B499" s="4">
        <f>37.8187 * CHOOSE(CONTROL!$C$9, $C$13, 100%, $E$13) + CHOOSE(CONTROL!$C$28, 0.0272, 0)</f>
        <v>37.8459</v>
      </c>
      <c r="C499" s="4">
        <f>37.4554 * CHOOSE(CONTROL!$C$9, $C$13, 100%, $E$13) + CHOOSE(CONTROL!$C$28, 0.0272, 0)</f>
        <v>37.482599999999998</v>
      </c>
      <c r="D499" s="4">
        <f>53.0415 * CHOOSE(CONTROL!$C$9, $C$13, 100%, $E$13) + CHOOSE(CONTROL!$C$28, 0.0021, 0)</f>
        <v>53.043599999999998</v>
      </c>
      <c r="E499" s="4">
        <f>250.400533814408 * CHOOSE(CONTROL!$C$9, $C$13, 100%, $E$13) + CHOOSE(CONTROL!$C$28, 0.0021, 0)</f>
        <v>250.40263381440801</v>
      </c>
    </row>
    <row r="500" spans="1:5" ht="15">
      <c r="A500" s="13">
        <v>56369</v>
      </c>
      <c r="B500" s="4">
        <f>39.3298 * CHOOSE(CONTROL!$C$9, $C$13, 100%, $E$13) + CHOOSE(CONTROL!$C$28, 0.0272, 0)</f>
        <v>39.356999999999999</v>
      </c>
      <c r="C500" s="4">
        <f>38.9665 * CHOOSE(CONTROL!$C$9, $C$13, 100%, $E$13) + CHOOSE(CONTROL!$C$28, 0.0272, 0)</f>
        <v>38.993700000000004</v>
      </c>
      <c r="D500" s="4">
        <f>54.5354 * CHOOSE(CONTROL!$C$9, $C$13, 100%, $E$13) + CHOOSE(CONTROL!$C$28, 0.0021, 0)</f>
        <v>54.537500000000001</v>
      </c>
      <c r="E500" s="4">
        <f>260.614519884848 * CHOOSE(CONTROL!$C$9, $C$13, 100%, $E$13) + CHOOSE(CONTROL!$C$28, 0.0021, 0)</f>
        <v>260.61661988484798</v>
      </c>
    </row>
    <row r="501" spans="1:5" ht="15">
      <c r="A501" s="13">
        <v>56400</v>
      </c>
      <c r="B501" s="4">
        <f>40.2531 * CHOOSE(CONTROL!$C$9, $C$13, 100%, $E$13) + CHOOSE(CONTROL!$C$28, 0.0272, 0)</f>
        <v>40.280300000000004</v>
      </c>
      <c r="C501" s="4">
        <f>39.8898 * CHOOSE(CONTROL!$C$9, $C$13, 100%, $E$13) + CHOOSE(CONTROL!$C$28, 0.0272, 0)</f>
        <v>39.917000000000002</v>
      </c>
      <c r="D501" s="4">
        <f>53.9451 * CHOOSE(CONTROL!$C$9, $C$13, 100%, $E$13) + CHOOSE(CONTROL!$C$28, 0.0021, 0)</f>
        <v>53.947199999999995</v>
      </c>
      <c r="E501" s="4">
        <f>266.855020578806 * CHOOSE(CONTROL!$C$9, $C$13, 100%, $E$13) + CHOOSE(CONTROL!$C$28, 0.0021, 0)</f>
        <v>266.85712057880596</v>
      </c>
    </row>
    <row r="502" spans="1:5" ht="15">
      <c r="A502" s="13">
        <v>56430</v>
      </c>
      <c r="B502" s="4">
        <f>40.378 * CHOOSE(CONTROL!$C$9, $C$13, 100%, $E$13) + CHOOSE(CONTROL!$C$28, 0.0272, 0)</f>
        <v>40.405200000000001</v>
      </c>
      <c r="C502" s="4">
        <f>40.0147 * CHOOSE(CONTROL!$C$9, $C$13, 100%, $E$13) + CHOOSE(CONTROL!$C$28, 0.0272, 0)</f>
        <v>40.041899999999998</v>
      </c>
      <c r="D502" s="4">
        <f>54.4258 * CHOOSE(CONTROL!$C$9, $C$13, 100%, $E$13) + CHOOSE(CONTROL!$C$28, 0.0021, 0)</f>
        <v>54.427900000000001</v>
      </c>
      <c r="E502" s="4">
        <f>267.699386221309 * CHOOSE(CONTROL!$C$9, $C$13, 100%, $E$13) + CHOOSE(CONTROL!$C$28, 0.0021, 0)</f>
        <v>267.70148622130898</v>
      </c>
    </row>
    <row r="503" spans="1:5" ht="15">
      <c r="A503" s="13">
        <v>56461</v>
      </c>
      <c r="B503" s="4">
        <f>40.3654 * CHOOSE(CONTROL!$C$9, $C$13, 100%, $E$13) + CHOOSE(CONTROL!$C$28, 0.0272, 0)</f>
        <v>40.392600000000002</v>
      </c>
      <c r="C503" s="4">
        <f>40.0021 * CHOOSE(CONTROL!$C$9, $C$13, 100%, $E$13) + CHOOSE(CONTROL!$C$28, 0.0272, 0)</f>
        <v>40.029299999999999</v>
      </c>
      <c r="D503" s="4">
        <f>55.2933 * CHOOSE(CONTROL!$C$9, $C$13, 100%, $E$13) + CHOOSE(CONTROL!$C$28, 0.0021, 0)</f>
        <v>55.295400000000001</v>
      </c>
      <c r="E503" s="4">
        <f>267.614240106098 * CHOOSE(CONTROL!$C$9, $C$13, 100%, $E$13) + CHOOSE(CONTROL!$C$28, 0.0021, 0)</f>
        <v>267.61634010609799</v>
      </c>
    </row>
    <row r="504" spans="1:5" ht="15">
      <c r="A504" s="13">
        <v>56492</v>
      </c>
      <c r="B504" s="4">
        <f>41.3133 * CHOOSE(CONTROL!$C$9, $C$13, 100%, $E$13) + CHOOSE(CONTROL!$C$28, 0.0272, 0)</f>
        <v>41.340499999999999</v>
      </c>
      <c r="C504" s="4">
        <f>40.95 * CHOOSE(CONTROL!$C$9, $C$13, 100%, $E$13) + CHOOSE(CONTROL!$C$28, 0.0272, 0)</f>
        <v>40.977200000000003</v>
      </c>
      <c r="D504" s="4">
        <f>54.7204 * CHOOSE(CONTROL!$C$9, $C$13, 100%, $E$13) + CHOOSE(CONTROL!$C$28, 0.0021, 0)</f>
        <v>54.722499999999997</v>
      </c>
      <c r="E504" s="4">
        <f>274.021485275676 * CHOOSE(CONTROL!$C$9, $C$13, 100%, $E$13) + CHOOSE(CONTROL!$C$28, 0.0021, 0)</f>
        <v>274.023585275676</v>
      </c>
    </row>
    <row r="505" spans="1:5" ht="15">
      <c r="A505" s="13">
        <v>56522</v>
      </c>
      <c r="B505" s="4">
        <f>39.6978 * CHOOSE(CONTROL!$C$9, $C$13, 100%, $E$13) + CHOOSE(CONTROL!$C$28, 0.0272, 0)</f>
        <v>39.725000000000001</v>
      </c>
      <c r="C505" s="4">
        <f>39.3345 * CHOOSE(CONTROL!$C$9, $C$13, 100%, $E$13) + CHOOSE(CONTROL!$C$28, 0.0272, 0)</f>
        <v>39.361699999999999</v>
      </c>
      <c r="D505" s="4">
        <f>54.4497 * CHOOSE(CONTROL!$C$9, $C$13, 100%, $E$13) + CHOOSE(CONTROL!$C$28, 0.0021, 0)</f>
        <v>54.451799999999999</v>
      </c>
      <c r="E505" s="4">
        <f>263.10149599995 * CHOOSE(CONTROL!$C$9, $C$13, 100%, $E$13) + CHOOSE(CONTROL!$C$28, 0.0021, 0)</f>
        <v>263.10359599994996</v>
      </c>
    </row>
    <row r="506" spans="1:5" ht="15">
      <c r="A506" s="13">
        <v>56553</v>
      </c>
      <c r="B506" s="4">
        <f>38.4045 * CHOOSE(CONTROL!$C$9, $C$13, 100%, $E$13) + CHOOSE(CONTROL!$C$28, 0.0272, 0)</f>
        <v>38.431699999999999</v>
      </c>
      <c r="C506" s="4">
        <f>38.0412 * CHOOSE(CONTROL!$C$9, $C$13, 100%, $E$13) + CHOOSE(CONTROL!$C$28, 0.0272, 0)</f>
        <v>38.068400000000004</v>
      </c>
      <c r="D506" s="4">
        <f>53.725 * CHOOSE(CONTROL!$C$9, $C$13, 100%, $E$13) + CHOOSE(CONTROL!$C$28, 0.0021, 0)</f>
        <v>53.7271</v>
      </c>
      <c r="E506" s="4">
        <f>254.359828171689 * CHOOSE(CONTROL!$C$9, $C$13, 100%, $E$13) + CHOOSE(CONTROL!$C$28, 0.0021, 0)</f>
        <v>254.36192817168902</v>
      </c>
    </row>
    <row r="507" spans="1:5" ht="15">
      <c r="A507" s="13">
        <v>56583</v>
      </c>
      <c r="B507" s="4">
        <f>37.5715 * CHOOSE(CONTROL!$C$9, $C$13, 100%, $E$13) + CHOOSE(CONTROL!$C$28, 0.0272, 0)</f>
        <v>37.598700000000001</v>
      </c>
      <c r="C507" s="4">
        <f>37.2082 * CHOOSE(CONTROL!$C$9, $C$13, 100%, $E$13) + CHOOSE(CONTROL!$C$28, 0.0272, 0)</f>
        <v>37.235399999999998</v>
      </c>
      <c r="D507" s="4">
        <f>53.4758 * CHOOSE(CONTROL!$C$9, $C$13, 100%, $E$13) + CHOOSE(CONTROL!$C$28, 0.0021, 0)</f>
        <v>53.477899999999998</v>
      </c>
      <c r="E507" s="4">
        <f>248.729541303405 * CHOOSE(CONTROL!$C$9, $C$13, 100%, $E$13) + CHOOSE(CONTROL!$C$28, 0.0021, 0)</f>
        <v>248.73164130340501</v>
      </c>
    </row>
    <row r="508" spans="1:5" ht="15">
      <c r="A508" s="13">
        <v>56614</v>
      </c>
      <c r="B508" s="4">
        <f>36.9952 * CHOOSE(CONTROL!$C$9, $C$13, 100%, $E$13) + CHOOSE(CONTROL!$C$28, 0.0272, 0)</f>
        <v>37.022399999999998</v>
      </c>
      <c r="C508" s="4">
        <f>36.6319 * CHOOSE(CONTROL!$C$9, $C$13, 100%, $E$13) + CHOOSE(CONTROL!$C$28, 0.0272, 0)</f>
        <v>36.659100000000002</v>
      </c>
      <c r="D508" s="4">
        <f>51.6415 * CHOOSE(CONTROL!$C$9, $C$13, 100%, $E$13) + CHOOSE(CONTROL!$C$28, 0.0021, 0)</f>
        <v>51.643599999999999</v>
      </c>
      <c r="E508" s="4">
        <f>244.834106532532 * CHOOSE(CONTROL!$C$9, $C$13, 100%, $E$13) + CHOOSE(CONTROL!$C$28, 0.0021, 0)</f>
        <v>244.836206532532</v>
      </c>
    </row>
    <row r="509" spans="1:5" ht="15">
      <c r="A509" s="13">
        <v>56645</v>
      </c>
      <c r="B509" s="4">
        <f>35.4184 * CHOOSE(CONTROL!$C$9, $C$13, 100%, $E$13) + CHOOSE(CONTROL!$C$28, 0.0272, 0)</f>
        <v>35.445599999999999</v>
      </c>
      <c r="C509" s="4">
        <f>35.0552 * CHOOSE(CONTROL!$C$9, $C$13, 100%, $E$13) + CHOOSE(CONTROL!$C$28, 0.0272, 0)</f>
        <v>35.0824</v>
      </c>
      <c r="D509" s="4">
        <f>49.6207 * CHOOSE(CONTROL!$C$9, $C$13, 100%, $E$13) + CHOOSE(CONTROL!$C$28, 0.0021, 0)</f>
        <v>49.622799999999998</v>
      </c>
      <c r="E509" s="4">
        <f>234.635771134066 * CHOOSE(CONTROL!$C$9, $C$13, 100%, $E$13) + CHOOSE(CONTROL!$C$28, 0.0021, 0)</f>
        <v>234.63787113406602</v>
      </c>
    </row>
    <row r="510" spans="1:5" ht="15">
      <c r="A510" s="13">
        <v>56673</v>
      </c>
      <c r="B510" s="4">
        <f>36.241 * CHOOSE(CONTROL!$C$9, $C$13, 100%, $E$13) + CHOOSE(CONTROL!$C$28, 0.0272, 0)</f>
        <v>36.2682</v>
      </c>
      <c r="C510" s="4">
        <f>35.8778 * CHOOSE(CONTROL!$C$9, $C$13, 100%, $E$13) + CHOOSE(CONTROL!$C$28, 0.0272, 0)</f>
        <v>35.905000000000001</v>
      </c>
      <c r="D510" s="4">
        <f>51.3067 * CHOOSE(CONTROL!$C$9, $C$13, 100%, $E$13) + CHOOSE(CONTROL!$C$28, 0.0021, 0)</f>
        <v>51.308799999999998</v>
      </c>
      <c r="E510" s="4">
        <f>240.206949019114 * CHOOSE(CONTROL!$C$9, $C$13, 100%, $E$13) + CHOOSE(CONTROL!$C$28, 0.0021, 0)</f>
        <v>240.20904901911402</v>
      </c>
    </row>
    <row r="511" spans="1:5" ht="15">
      <c r="A511" s="13">
        <v>56704</v>
      </c>
      <c r="B511" s="4">
        <f>38.4013 * CHOOSE(CONTROL!$C$9, $C$13, 100%, $E$13) + CHOOSE(CONTROL!$C$28, 0.0272, 0)</f>
        <v>38.4285</v>
      </c>
      <c r="C511" s="4">
        <f>38.038 * CHOOSE(CONTROL!$C$9, $C$13, 100%, $E$13) + CHOOSE(CONTROL!$C$28, 0.0272, 0)</f>
        <v>38.065199999999997</v>
      </c>
      <c r="D511" s="4">
        <f>53.9459 * CHOOSE(CONTROL!$C$9, $C$13, 100%, $E$13) + CHOOSE(CONTROL!$C$28, 0.0021, 0)</f>
        <v>53.948</v>
      </c>
      <c r="E511" s="4">
        <f>254.837158215625 * CHOOSE(CONTROL!$C$9, $C$13, 100%, $E$13) + CHOOSE(CONTROL!$C$28, 0.0021, 0)</f>
        <v>254.83925821562502</v>
      </c>
    </row>
    <row r="512" spans="1:5" ht="15">
      <c r="A512" s="13">
        <v>56734</v>
      </c>
      <c r="B512" s="4">
        <f>39.9361 * CHOOSE(CONTROL!$C$9, $C$13, 100%, $E$13) + CHOOSE(CONTROL!$C$28, 0.0272, 0)</f>
        <v>39.963300000000004</v>
      </c>
      <c r="C512" s="4">
        <f>39.5728 * CHOOSE(CONTROL!$C$9, $C$13, 100%, $E$13) + CHOOSE(CONTROL!$C$28, 0.0272, 0)</f>
        <v>39.6</v>
      </c>
      <c r="D512" s="4">
        <f>55.4662 * CHOOSE(CONTROL!$C$9, $C$13, 100%, $E$13) + CHOOSE(CONTROL!$C$28, 0.0021, 0)</f>
        <v>55.468299999999999</v>
      </c>
      <c r="E512" s="4">
        <f>265.232116822918 * CHOOSE(CONTROL!$C$9, $C$13, 100%, $E$13) + CHOOSE(CONTROL!$C$28, 0.0021, 0)</f>
        <v>265.23421682291797</v>
      </c>
    </row>
    <row r="513" spans="1:5" ht="15">
      <c r="A513" s="13">
        <v>56765</v>
      </c>
      <c r="B513" s="4">
        <f>40.8739 * CHOOSE(CONTROL!$C$9, $C$13, 100%, $E$13) + CHOOSE(CONTROL!$C$28, 0.0272, 0)</f>
        <v>40.9011</v>
      </c>
      <c r="C513" s="4">
        <f>40.5106 * CHOOSE(CONTROL!$C$9, $C$13, 100%, $E$13) + CHOOSE(CONTROL!$C$28, 0.0272, 0)</f>
        <v>40.537799999999997</v>
      </c>
      <c r="D513" s="4">
        <f>54.8655 * CHOOSE(CONTROL!$C$9, $C$13, 100%, $E$13) + CHOOSE(CONTROL!$C$28, 0.0021, 0)</f>
        <v>54.867599999999996</v>
      </c>
      <c r="E513" s="4">
        <f>271.583187399587 * CHOOSE(CONTROL!$C$9, $C$13, 100%, $E$13) + CHOOSE(CONTROL!$C$28, 0.0021, 0)</f>
        <v>271.585287399587</v>
      </c>
    </row>
    <row r="514" spans="1:5" ht="15">
      <c r="A514" s="13">
        <v>56795</v>
      </c>
      <c r="B514" s="4">
        <f>41.0008 * CHOOSE(CONTROL!$C$9, $C$13, 100%, $E$13) + CHOOSE(CONTROL!$C$28, 0.0272, 0)</f>
        <v>41.027999999999999</v>
      </c>
      <c r="C514" s="4">
        <f>40.6375 * CHOOSE(CONTROL!$C$9, $C$13, 100%, $E$13) + CHOOSE(CONTROL!$C$28, 0.0272, 0)</f>
        <v>40.664700000000003</v>
      </c>
      <c r="D514" s="4">
        <f>55.3547 * CHOOSE(CONTROL!$C$9, $C$13, 100%, $E$13) + CHOOSE(CONTROL!$C$28, 0.0021, 0)</f>
        <v>55.3568</v>
      </c>
      <c r="E514" s="4">
        <f>272.442513606095 * CHOOSE(CONTROL!$C$9, $C$13, 100%, $E$13) + CHOOSE(CONTROL!$C$28, 0.0021, 0)</f>
        <v>272.444613606095</v>
      </c>
    </row>
    <row r="515" spans="1:5" ht="15">
      <c r="A515" s="13">
        <v>56826</v>
      </c>
      <c r="B515" s="4">
        <f>40.988 * CHOOSE(CONTROL!$C$9, $C$13, 100%, $E$13) + CHOOSE(CONTROL!$C$28, 0.0272, 0)</f>
        <v>41.0152</v>
      </c>
      <c r="C515" s="4">
        <f>40.6247 * CHOOSE(CONTROL!$C$9, $C$13, 100%, $E$13) + CHOOSE(CONTROL!$C$28, 0.0272, 0)</f>
        <v>40.651899999999998</v>
      </c>
      <c r="D515" s="4">
        <f>56.2375 * CHOOSE(CONTROL!$C$9, $C$13, 100%, $E$13) + CHOOSE(CONTROL!$C$28, 0.0021, 0)</f>
        <v>56.239599999999996</v>
      </c>
      <c r="E515" s="4">
        <f>272.355858862581 * CHOOSE(CONTROL!$C$9, $C$13, 100%, $E$13) + CHOOSE(CONTROL!$C$28, 0.0021, 0)</f>
        <v>272.35795886258097</v>
      </c>
    </row>
    <row r="516" spans="1:5" ht="15">
      <c r="A516" s="13">
        <v>56857</v>
      </c>
      <c r="B516" s="4">
        <f>41.9508 * CHOOSE(CONTROL!$C$9, $C$13, 100%, $E$13) + CHOOSE(CONTROL!$C$28, 0.0272, 0)</f>
        <v>41.978000000000002</v>
      </c>
      <c r="C516" s="4">
        <f>41.5875 * CHOOSE(CONTROL!$C$9, $C$13, 100%, $E$13) + CHOOSE(CONTROL!$C$28, 0.0272, 0)</f>
        <v>41.614699999999999</v>
      </c>
      <c r="D516" s="4">
        <f>55.6545 * CHOOSE(CONTROL!$C$9, $C$13, 100%, $E$13) + CHOOSE(CONTROL!$C$28, 0.0021, 0)</f>
        <v>55.656599999999997</v>
      </c>
      <c r="E516" s="4">
        <f>278.876628311964 * CHOOSE(CONTROL!$C$9, $C$13, 100%, $E$13) + CHOOSE(CONTROL!$C$28, 0.0021, 0)</f>
        <v>278.87872831196398</v>
      </c>
    </row>
    <row r="517" spans="1:5" ht="15">
      <c r="A517" s="13">
        <v>56887</v>
      </c>
      <c r="B517" s="4">
        <f>40.3098 * CHOOSE(CONTROL!$C$9, $C$13, 100%, $E$13) + CHOOSE(CONTROL!$C$28, 0.0272, 0)</f>
        <v>40.337000000000003</v>
      </c>
      <c r="C517" s="4">
        <f>39.9466 * CHOOSE(CONTROL!$C$9, $C$13, 100%, $E$13) + CHOOSE(CONTROL!$C$28, 0.0272, 0)</f>
        <v>39.973799999999997</v>
      </c>
      <c r="D517" s="4">
        <f>55.3791 * CHOOSE(CONTROL!$C$9, $C$13, 100%, $E$13) + CHOOSE(CONTROL!$C$28, 0.0021, 0)</f>
        <v>55.3812</v>
      </c>
      <c r="E517" s="4">
        <f>267.763157456372 * CHOOSE(CONTROL!$C$9, $C$13, 100%, $E$13) + CHOOSE(CONTROL!$C$28, 0.0021, 0)</f>
        <v>267.76525745637201</v>
      </c>
    </row>
    <row r="518" spans="1:5" ht="15">
      <c r="A518" s="13">
        <v>56918</v>
      </c>
      <c r="B518" s="4">
        <f>38.9962 * CHOOSE(CONTROL!$C$9, $C$13, 100%, $E$13) + CHOOSE(CONTROL!$C$28, 0.0272, 0)</f>
        <v>39.023400000000002</v>
      </c>
      <c r="C518" s="4">
        <f>38.6329 * CHOOSE(CONTROL!$C$9, $C$13, 100%, $E$13) + CHOOSE(CONTROL!$C$28, 0.0272, 0)</f>
        <v>38.6601</v>
      </c>
      <c r="D518" s="4">
        <f>54.6415 * CHOOSE(CONTROL!$C$9, $C$13, 100%, $E$13) + CHOOSE(CONTROL!$C$28, 0.0021, 0)</f>
        <v>54.643599999999999</v>
      </c>
      <c r="E518" s="4">
        <f>258.866603788997 * CHOOSE(CONTROL!$C$9, $C$13, 100%, $E$13) + CHOOSE(CONTROL!$C$28, 0.0021, 0)</f>
        <v>258.86870378899698</v>
      </c>
    </row>
    <row r="519" spans="1:5" ht="15">
      <c r="A519" s="13">
        <v>56948</v>
      </c>
      <c r="B519" s="4">
        <f>38.1502 * CHOOSE(CONTROL!$C$9, $C$13, 100%, $E$13) + CHOOSE(CONTROL!$C$28, 0.0272, 0)</f>
        <v>38.177399999999999</v>
      </c>
      <c r="C519" s="4">
        <f>37.7869 * CHOOSE(CONTROL!$C$9, $C$13, 100%, $E$13) + CHOOSE(CONTROL!$C$28, 0.0272, 0)</f>
        <v>37.814100000000003</v>
      </c>
      <c r="D519" s="4">
        <f>54.3879 * CHOOSE(CONTROL!$C$9, $C$13, 100%, $E$13) + CHOOSE(CONTROL!$C$28, 0.0021, 0)</f>
        <v>54.39</v>
      </c>
      <c r="E519" s="4">
        <f>253.136558874174 * CHOOSE(CONTROL!$C$9, $C$13, 100%, $E$13) + CHOOSE(CONTROL!$C$28, 0.0021, 0)</f>
        <v>253.13865887417401</v>
      </c>
    </row>
    <row r="520" spans="1:5" ht="15">
      <c r="A520" s="13">
        <v>56979</v>
      </c>
      <c r="B520" s="4">
        <f>37.5648 * CHOOSE(CONTROL!$C$9, $C$13, 100%, $E$13) + CHOOSE(CONTROL!$C$28, 0.0272, 0)</f>
        <v>37.591999999999999</v>
      </c>
      <c r="C520" s="4">
        <f>37.2015 * CHOOSE(CONTROL!$C$9, $C$13, 100%, $E$13) + CHOOSE(CONTROL!$C$28, 0.0272, 0)</f>
        <v>37.228700000000003</v>
      </c>
      <c r="D520" s="4">
        <f>52.5212 * CHOOSE(CONTROL!$C$9, $C$13, 100%, $E$13) + CHOOSE(CONTROL!$C$28, 0.0021, 0)</f>
        <v>52.523299999999999</v>
      </c>
      <c r="E520" s="4">
        <f>249.172104358437 * CHOOSE(CONTROL!$C$9, $C$13, 100%, $E$13) + CHOOSE(CONTROL!$C$28, 0.0021, 0)</f>
        <v>249.17420435843701</v>
      </c>
    </row>
    <row r="521" spans="1:5" ht="15">
      <c r="A521" s="13">
        <v>57010</v>
      </c>
      <c r="B521" s="4">
        <f>35.9632 * CHOOSE(CONTROL!$C$9, $C$13, 100%, $E$13) + CHOOSE(CONTROL!$C$28, 0.0272, 0)</f>
        <v>35.990400000000001</v>
      </c>
      <c r="C521" s="4">
        <f>35.5999 * CHOOSE(CONTROL!$C$9, $C$13, 100%, $E$13) + CHOOSE(CONTROL!$C$28, 0.0272, 0)</f>
        <v>35.627099999999999</v>
      </c>
      <c r="D521" s="4">
        <f>50.4647 * CHOOSE(CONTROL!$C$9, $C$13, 100%, $E$13) + CHOOSE(CONTROL!$C$28, 0.0021, 0)</f>
        <v>50.466799999999999</v>
      </c>
      <c r="E521" s="4">
        <f>238.793073723457 * CHOOSE(CONTROL!$C$9, $C$13, 100%, $E$13) + CHOOSE(CONTROL!$C$28, 0.0021, 0)</f>
        <v>238.79517372345703</v>
      </c>
    </row>
    <row r="522" spans="1:5" ht="15">
      <c r="A522" s="13">
        <v>57038</v>
      </c>
      <c r="B522" s="4">
        <f>36.7988 * CHOOSE(CONTROL!$C$9, $C$13, 100%, $E$13) + CHOOSE(CONTROL!$C$28, 0.0272, 0)</f>
        <v>36.826000000000001</v>
      </c>
      <c r="C522" s="4">
        <f>36.4355 * CHOOSE(CONTROL!$C$9, $C$13, 100%, $E$13) + CHOOSE(CONTROL!$C$28, 0.0272, 0)</f>
        <v>36.462699999999998</v>
      </c>
      <c r="D522" s="4">
        <f>52.1805 * CHOOSE(CONTROL!$C$9, $C$13, 100%, $E$13) + CHOOSE(CONTROL!$C$28, 0.0021, 0)</f>
        <v>52.182600000000001</v>
      </c>
      <c r="E522" s="4">
        <f>244.462962355531 * CHOOSE(CONTROL!$C$9, $C$13, 100%, $E$13) + CHOOSE(CONTROL!$C$28, 0.0021, 0)</f>
        <v>244.46506235553102</v>
      </c>
    </row>
    <row r="523" spans="1:5" ht="15">
      <c r="A523" s="13">
        <v>57070</v>
      </c>
      <c r="B523" s="4">
        <f>38.9929 * CHOOSE(CONTROL!$C$9, $C$13, 100%, $E$13) + CHOOSE(CONTROL!$C$28, 0.0272, 0)</f>
        <v>39.020099999999999</v>
      </c>
      <c r="C523" s="4">
        <f>38.6297 * CHOOSE(CONTROL!$C$9, $C$13, 100%, $E$13) + CHOOSE(CONTROL!$C$28, 0.0272, 0)</f>
        <v>38.6569</v>
      </c>
      <c r="D523" s="4">
        <f>54.8663 * CHOOSE(CONTROL!$C$9, $C$13, 100%, $E$13) + CHOOSE(CONTROL!$C$28, 0.0021, 0)</f>
        <v>54.868400000000001</v>
      </c>
      <c r="E523" s="4">
        <f>259.352391219537 * CHOOSE(CONTROL!$C$9, $C$13, 100%, $E$13) + CHOOSE(CONTROL!$C$28, 0.0021, 0)</f>
        <v>259.35449121953701</v>
      </c>
    </row>
    <row r="524" spans="1:5" ht="15">
      <c r="A524" s="13">
        <v>57100</v>
      </c>
      <c r="B524" s="4">
        <f>40.5519 * CHOOSE(CONTROL!$C$9, $C$13, 100%, $E$13) + CHOOSE(CONTROL!$C$28, 0.0272, 0)</f>
        <v>40.579100000000004</v>
      </c>
      <c r="C524" s="4">
        <f>40.1887 * CHOOSE(CONTROL!$C$9, $C$13, 100%, $E$13) + CHOOSE(CONTROL!$C$28, 0.0272, 0)</f>
        <v>40.215899999999998</v>
      </c>
      <c r="D524" s="4">
        <f>56.4135 * CHOOSE(CONTROL!$C$9, $C$13, 100%, $E$13) + CHOOSE(CONTROL!$C$28, 0.0021, 0)</f>
        <v>56.415599999999998</v>
      </c>
      <c r="E524" s="4">
        <f>269.931528855143 * CHOOSE(CONTROL!$C$9, $C$13, 100%, $E$13) + CHOOSE(CONTROL!$C$28, 0.0021, 0)</f>
        <v>269.93362885514296</v>
      </c>
    </row>
    <row r="525" spans="1:5" ht="15">
      <c r="A525" s="13">
        <v>57131</v>
      </c>
      <c r="B525" s="4">
        <f>41.5045 * CHOOSE(CONTROL!$C$9, $C$13, 100%, $E$13) + CHOOSE(CONTROL!$C$28, 0.0272, 0)</f>
        <v>41.531700000000001</v>
      </c>
      <c r="C525" s="4">
        <f>41.1412 * CHOOSE(CONTROL!$C$9, $C$13, 100%, $E$13) + CHOOSE(CONTROL!$C$28, 0.0272, 0)</f>
        <v>41.168399999999998</v>
      </c>
      <c r="D525" s="4">
        <f>55.8021 * CHOOSE(CONTROL!$C$9, $C$13, 100%, $E$13) + CHOOSE(CONTROL!$C$28, 0.0021, 0)</f>
        <v>55.804200000000002</v>
      </c>
      <c r="E525" s="4">
        <f>276.395128403955 * CHOOSE(CONTROL!$C$9, $C$13, 100%, $E$13) + CHOOSE(CONTROL!$C$28, 0.0021, 0)</f>
        <v>276.39722840395501</v>
      </c>
    </row>
    <row r="526" spans="1:5" ht="15">
      <c r="A526" s="13">
        <v>57161</v>
      </c>
      <c r="B526" s="4">
        <f>41.6333 * CHOOSE(CONTROL!$C$9, $C$13, 100%, $E$13) + CHOOSE(CONTROL!$C$28, 0.0272, 0)</f>
        <v>41.660499999999999</v>
      </c>
      <c r="C526" s="4">
        <f>41.2701 * CHOOSE(CONTROL!$C$9, $C$13, 100%, $E$13) + CHOOSE(CONTROL!$C$28, 0.0272, 0)</f>
        <v>41.2973</v>
      </c>
      <c r="D526" s="4">
        <f>56.3 * CHOOSE(CONTROL!$C$9, $C$13, 100%, $E$13) + CHOOSE(CONTROL!$C$28, 0.0021, 0)</f>
        <v>56.302099999999996</v>
      </c>
      <c r="E526" s="4">
        <f>277.269680247398 * CHOOSE(CONTROL!$C$9, $C$13, 100%, $E$13) + CHOOSE(CONTROL!$C$28, 0.0021, 0)</f>
        <v>277.271780247398</v>
      </c>
    </row>
    <row r="527" spans="1:5" ht="15">
      <c r="A527" s="13">
        <v>57192</v>
      </c>
      <c r="B527" s="4">
        <f>41.6203 * CHOOSE(CONTROL!$C$9, $C$13, 100%, $E$13) + CHOOSE(CONTROL!$C$28, 0.0272, 0)</f>
        <v>41.647500000000001</v>
      </c>
      <c r="C527" s="4">
        <f>41.2571 * CHOOSE(CONTROL!$C$9, $C$13, 100%, $E$13) + CHOOSE(CONTROL!$C$28, 0.0272, 0)</f>
        <v>41.284300000000002</v>
      </c>
      <c r="D527" s="4">
        <f>57.1984 * CHOOSE(CONTROL!$C$9, $C$13, 100%, $E$13) + CHOOSE(CONTROL!$C$28, 0.0021, 0)</f>
        <v>57.200499999999998</v>
      </c>
      <c r="E527" s="4">
        <f>277.181490145539 * CHOOSE(CONTROL!$C$9, $C$13, 100%, $E$13) + CHOOSE(CONTROL!$C$28, 0.0021, 0)</f>
        <v>277.18359014553897</v>
      </c>
    </row>
    <row r="528" spans="1:5" ht="15">
      <c r="A528" s="13">
        <v>57223</v>
      </c>
      <c r="B528" s="4">
        <f>42.5983 * CHOOSE(CONTROL!$C$9, $C$13, 100%, $E$13) + CHOOSE(CONTROL!$C$28, 0.0272, 0)</f>
        <v>42.625500000000002</v>
      </c>
      <c r="C528" s="4">
        <f>42.235 * CHOOSE(CONTROL!$C$9, $C$13, 100%, $E$13) + CHOOSE(CONTROL!$C$28, 0.0272, 0)</f>
        <v>42.2622</v>
      </c>
      <c r="D528" s="4">
        <f>56.6051 * CHOOSE(CONTROL!$C$9, $C$13, 100%, $E$13) + CHOOSE(CONTROL!$C$28, 0.0021, 0)</f>
        <v>56.607199999999999</v>
      </c>
      <c r="E528" s="4">
        <f>283.817795310493 * CHOOSE(CONTROL!$C$9, $C$13, 100%, $E$13) + CHOOSE(CONTROL!$C$28, 0.0021, 0)</f>
        <v>283.819895310493</v>
      </c>
    </row>
    <row r="529" spans="1:5" ht="15">
      <c r="A529" s="13">
        <v>57253</v>
      </c>
      <c r="B529" s="4">
        <f>40.9315 * CHOOSE(CONTROL!$C$9, $C$13, 100%, $E$13) + CHOOSE(CONTROL!$C$28, 0.0272, 0)</f>
        <v>40.9587</v>
      </c>
      <c r="C529" s="4">
        <f>40.5683 * CHOOSE(CONTROL!$C$9, $C$13, 100%, $E$13) + CHOOSE(CONTROL!$C$28, 0.0272, 0)</f>
        <v>40.595500000000001</v>
      </c>
      <c r="D529" s="4">
        <f>56.3248 * CHOOSE(CONTROL!$C$9, $C$13, 100%, $E$13) + CHOOSE(CONTROL!$C$28, 0.0021, 0)</f>
        <v>56.326900000000002</v>
      </c>
      <c r="E529" s="4">
        <f>272.507414746966 * CHOOSE(CONTROL!$C$9, $C$13, 100%, $E$13) + CHOOSE(CONTROL!$C$28, 0.0021, 0)</f>
        <v>272.50951474696598</v>
      </c>
    </row>
    <row r="530" spans="1:5" ht="15">
      <c r="A530" s="13">
        <v>57284</v>
      </c>
      <c r="B530" s="4">
        <f>39.5973 * CHOOSE(CONTROL!$C$9, $C$13, 100%, $E$13) + CHOOSE(CONTROL!$C$28, 0.0272, 0)</f>
        <v>39.624499999999998</v>
      </c>
      <c r="C530" s="4">
        <f>39.234 * CHOOSE(CONTROL!$C$9, $C$13, 100%, $E$13) + CHOOSE(CONTROL!$C$28, 0.0272, 0)</f>
        <v>39.261200000000002</v>
      </c>
      <c r="D530" s="4">
        <f>55.5742 * CHOOSE(CONTROL!$C$9, $C$13, 100%, $E$13) + CHOOSE(CONTROL!$C$28, 0.0021, 0)</f>
        <v>55.576299999999996</v>
      </c>
      <c r="E530" s="4">
        <f>263.45323095602 * CHOOSE(CONTROL!$C$9, $C$13, 100%, $E$13) + CHOOSE(CONTROL!$C$28, 0.0021, 0)</f>
        <v>263.45533095601996</v>
      </c>
    </row>
    <row r="531" spans="1:5" ht="15">
      <c r="A531" s="13">
        <v>57314</v>
      </c>
      <c r="B531" s="4">
        <f>38.7379 * CHOOSE(CONTROL!$C$9, $C$13, 100%, $E$13) + CHOOSE(CONTROL!$C$28, 0.0272, 0)</f>
        <v>38.765100000000004</v>
      </c>
      <c r="C531" s="4">
        <f>38.3746 * CHOOSE(CONTROL!$C$9, $C$13, 100%, $E$13) + CHOOSE(CONTROL!$C$28, 0.0272, 0)</f>
        <v>38.401800000000001</v>
      </c>
      <c r="D531" s="4">
        <f>55.3162 * CHOOSE(CONTROL!$C$9, $C$13, 100%, $E$13) + CHOOSE(CONTROL!$C$28, 0.0021, 0)</f>
        <v>55.318300000000001</v>
      </c>
      <c r="E531" s="4">
        <f>257.621660470537 * CHOOSE(CONTROL!$C$9, $C$13, 100%, $E$13) + CHOOSE(CONTROL!$C$28, 0.0021, 0)</f>
        <v>257.62376047053698</v>
      </c>
    </row>
    <row r="532" spans="1:5" ht="15">
      <c r="A532" s="13">
        <v>57345</v>
      </c>
      <c r="B532" s="4">
        <f>38.1433 * CHOOSE(CONTROL!$C$9, $C$13, 100%, $E$13) + CHOOSE(CONTROL!$C$28, 0.0272, 0)</f>
        <v>38.170500000000004</v>
      </c>
      <c r="C532" s="4">
        <f>37.78 * CHOOSE(CONTROL!$C$9, $C$13, 100%, $E$13) + CHOOSE(CONTROL!$C$28, 0.0272, 0)</f>
        <v>37.807200000000002</v>
      </c>
      <c r="D532" s="4">
        <f>53.4164 * CHOOSE(CONTROL!$C$9, $C$13, 100%, $E$13) + CHOOSE(CONTROL!$C$28, 0.0021, 0)</f>
        <v>53.418500000000002</v>
      </c>
      <c r="E532" s="4">
        <f>253.586963310449 * CHOOSE(CONTROL!$C$9, $C$13, 100%, $E$13) + CHOOSE(CONTROL!$C$28, 0.0021, 0)</f>
        <v>253.58906331044901</v>
      </c>
    </row>
    <row r="533" spans="1:5" ht="15">
      <c r="A533" s="13">
        <v>57376</v>
      </c>
      <c r="B533" s="4">
        <f>36.5166 * CHOOSE(CONTROL!$C$9, $C$13, 100%, $E$13) + CHOOSE(CONTROL!$C$28, 0.0272, 0)</f>
        <v>36.543799999999997</v>
      </c>
      <c r="C533" s="4">
        <f>36.1533 * CHOOSE(CONTROL!$C$9, $C$13, 100%, $E$13) + CHOOSE(CONTROL!$C$28, 0.0272, 0)</f>
        <v>36.180500000000002</v>
      </c>
      <c r="D533" s="4">
        <f>51.3236 * CHOOSE(CONTROL!$C$9, $C$13, 100%, $E$13) + CHOOSE(CONTROL!$C$28, 0.0021, 0)</f>
        <v>51.325699999999998</v>
      </c>
      <c r="E533" s="4">
        <f>243.024035860735 * CHOOSE(CONTROL!$C$9, $C$13, 100%, $E$13) + CHOOSE(CONTROL!$C$28, 0.0021, 0)</f>
        <v>243.02613586073502</v>
      </c>
    </row>
    <row r="534" spans="1:5" ht="15">
      <c r="A534" s="13">
        <v>57404</v>
      </c>
      <c r="B534" s="4">
        <f>37.3653 * CHOOSE(CONTROL!$C$9, $C$13, 100%, $E$13) + CHOOSE(CONTROL!$C$28, 0.0272, 0)</f>
        <v>37.392499999999998</v>
      </c>
      <c r="C534" s="4">
        <f>37.002 * CHOOSE(CONTROL!$C$9, $C$13, 100%, $E$13) + CHOOSE(CONTROL!$C$28, 0.0272, 0)</f>
        <v>37.029200000000003</v>
      </c>
      <c r="D534" s="4">
        <f>53.0697 * CHOOSE(CONTROL!$C$9, $C$13, 100%, $E$13) + CHOOSE(CONTROL!$C$28, 0.0021, 0)</f>
        <v>53.071799999999996</v>
      </c>
      <c r="E534" s="4">
        <f>248.794384207786 * CHOOSE(CONTROL!$C$9, $C$13, 100%, $E$13) + CHOOSE(CONTROL!$C$28, 0.0021, 0)</f>
        <v>248.79648420778602</v>
      </c>
    </row>
    <row r="535" spans="1:5" ht="15">
      <c r="A535" s="13">
        <v>57435</v>
      </c>
      <c r="B535" s="4">
        <f>39.5939 * CHOOSE(CONTROL!$C$9, $C$13, 100%, $E$13) + CHOOSE(CONTROL!$C$28, 0.0272, 0)</f>
        <v>39.621099999999998</v>
      </c>
      <c r="C535" s="4">
        <f>39.2307 * CHOOSE(CONTROL!$C$9, $C$13, 100%, $E$13) + CHOOSE(CONTROL!$C$28, 0.0272, 0)</f>
        <v>39.257899999999999</v>
      </c>
      <c r="D535" s="4">
        <f>55.803 * CHOOSE(CONTROL!$C$9, $C$13, 100%, $E$13) + CHOOSE(CONTROL!$C$28, 0.0021, 0)</f>
        <v>55.805099999999996</v>
      </c>
      <c r="E535" s="4">
        <f>263.947625622077 * CHOOSE(CONTROL!$C$9, $C$13, 100%, $E$13) + CHOOSE(CONTROL!$C$28, 0.0021, 0)</f>
        <v>263.94972562207698</v>
      </c>
    </row>
    <row r="536" spans="1:5" ht="15">
      <c r="A536" s="13">
        <v>57465</v>
      </c>
      <c r="B536" s="4">
        <f>41.1775 * CHOOSE(CONTROL!$C$9, $C$13, 100%, $E$13) + CHOOSE(CONTROL!$C$28, 0.0272, 0)</f>
        <v>41.204700000000003</v>
      </c>
      <c r="C536" s="4">
        <f>40.8142 * CHOOSE(CONTROL!$C$9, $C$13, 100%, $E$13) + CHOOSE(CONTROL!$C$28, 0.0272, 0)</f>
        <v>40.8414</v>
      </c>
      <c r="D536" s="4">
        <f>57.3775 * CHOOSE(CONTROL!$C$9, $C$13, 100%, $E$13) + CHOOSE(CONTROL!$C$28, 0.0021, 0)</f>
        <v>57.379599999999996</v>
      </c>
      <c r="E536" s="4">
        <f>274.714205590425 * CHOOSE(CONTROL!$C$9, $C$13, 100%, $E$13) + CHOOSE(CONTROL!$C$28, 0.0021, 0)</f>
        <v>274.71630559042501</v>
      </c>
    </row>
    <row r="537" spans="1:5" ht="15">
      <c r="A537" s="13">
        <v>57496</v>
      </c>
      <c r="B537" s="4">
        <f>42.1449 * CHOOSE(CONTROL!$C$9, $C$13, 100%, $E$13) + CHOOSE(CONTROL!$C$28, 0.0272, 0)</f>
        <v>42.1721</v>
      </c>
      <c r="C537" s="4">
        <f>41.7817 * CHOOSE(CONTROL!$C$9, $C$13, 100%, $E$13) + CHOOSE(CONTROL!$C$28, 0.0272, 0)</f>
        <v>41.808900000000001</v>
      </c>
      <c r="D537" s="4">
        <f>56.7553 * CHOOSE(CONTROL!$C$9, $C$13, 100%, $E$13) + CHOOSE(CONTROL!$C$28, 0.0021, 0)</f>
        <v>56.757399999999997</v>
      </c>
      <c r="E537" s="4">
        <f>281.292327912177 * CHOOSE(CONTROL!$C$9, $C$13, 100%, $E$13) + CHOOSE(CONTROL!$C$28, 0.0021, 0)</f>
        <v>281.29442791217696</v>
      </c>
    </row>
    <row r="538" spans="1:5" ht="15">
      <c r="A538" s="13">
        <v>57526</v>
      </c>
      <c r="B538" s="4">
        <f>42.2759 * CHOOSE(CONTROL!$C$9, $C$13, 100%, $E$13) + CHOOSE(CONTROL!$C$28, 0.0272, 0)</f>
        <v>42.303100000000001</v>
      </c>
      <c r="C538" s="4">
        <f>41.9126 * CHOOSE(CONTROL!$C$9, $C$13, 100%, $E$13) + CHOOSE(CONTROL!$C$28, 0.0272, 0)</f>
        <v>41.939799999999998</v>
      </c>
      <c r="D538" s="4">
        <f>57.262 * CHOOSE(CONTROL!$C$9, $C$13, 100%, $E$13) + CHOOSE(CONTROL!$C$28, 0.0021, 0)</f>
        <v>57.264099999999999</v>
      </c>
      <c r="E538" s="4">
        <f>282.182375162078 * CHOOSE(CONTROL!$C$9, $C$13, 100%, $E$13) + CHOOSE(CONTROL!$C$28, 0.0021, 0)</f>
        <v>282.184475162078</v>
      </c>
    </row>
    <row r="539" spans="1:5" ht="15">
      <c r="A539" s="13">
        <v>57557</v>
      </c>
      <c r="B539" s="4">
        <f>42.2627 * CHOOSE(CONTROL!$C$9, $C$13, 100%, $E$13) + CHOOSE(CONTROL!$C$28, 0.0272, 0)</f>
        <v>42.289900000000003</v>
      </c>
      <c r="C539" s="4">
        <f>41.8994 * CHOOSE(CONTROL!$C$9, $C$13, 100%, $E$13) + CHOOSE(CONTROL!$C$28, 0.0272, 0)</f>
        <v>41.926600000000001</v>
      </c>
      <c r="D539" s="4">
        <f>58.1763 * CHOOSE(CONTROL!$C$9, $C$13, 100%, $E$13) + CHOOSE(CONTROL!$C$28, 0.0021, 0)</f>
        <v>58.178399999999996</v>
      </c>
      <c r="E539" s="4">
        <f>282.092622498223 * CHOOSE(CONTROL!$C$9, $C$13, 100%, $E$13) + CHOOSE(CONTROL!$C$28, 0.0021, 0)</f>
        <v>282.09472249822301</v>
      </c>
    </row>
    <row r="540" spans="1:5" ht="15">
      <c r="A540" s="13">
        <v>57588</v>
      </c>
      <c r="B540" s="4">
        <f>43.256 * CHOOSE(CONTROL!$C$9, $C$13, 100%, $E$13) + CHOOSE(CONTROL!$C$28, 0.0272, 0)</f>
        <v>43.283200000000001</v>
      </c>
      <c r="C540" s="4">
        <f>42.8927 * CHOOSE(CONTROL!$C$9, $C$13, 100%, $E$13) + CHOOSE(CONTROL!$C$28, 0.0272, 0)</f>
        <v>42.919899999999998</v>
      </c>
      <c r="D540" s="4">
        <f>57.5725 * CHOOSE(CONTROL!$C$9, $C$13, 100%, $E$13) + CHOOSE(CONTROL!$C$28, 0.0021, 0)</f>
        <v>57.574599999999997</v>
      </c>
      <c r="E540" s="4">
        <f>288.846510453358 * CHOOSE(CONTROL!$C$9, $C$13, 100%, $E$13) + CHOOSE(CONTROL!$C$28, 0.0021, 0)</f>
        <v>288.84861045335799</v>
      </c>
    </row>
    <row r="541" spans="1:5" ht="15">
      <c r="A541" s="13">
        <v>57618</v>
      </c>
      <c r="B541" s="4">
        <f>41.563 * CHOOSE(CONTROL!$C$9, $C$13, 100%, $E$13) + CHOOSE(CONTROL!$C$28, 0.0272, 0)</f>
        <v>41.590200000000003</v>
      </c>
      <c r="C541" s="4">
        <f>41.1997 * CHOOSE(CONTROL!$C$9, $C$13, 100%, $E$13) + CHOOSE(CONTROL!$C$28, 0.0272, 0)</f>
        <v>41.226900000000001</v>
      </c>
      <c r="D541" s="4">
        <f>57.2872 * CHOOSE(CONTROL!$C$9, $C$13, 100%, $E$13) + CHOOSE(CONTROL!$C$28, 0.0021, 0)</f>
        <v>57.289299999999997</v>
      </c>
      <c r="E541" s="4">
        <f>277.335731313875 * CHOOSE(CONTROL!$C$9, $C$13, 100%, $E$13) + CHOOSE(CONTROL!$C$28, 0.0021, 0)</f>
        <v>277.33783131387497</v>
      </c>
    </row>
    <row r="542" spans="1:5" ht="15">
      <c r="A542" s="13">
        <v>57649</v>
      </c>
      <c r="B542" s="4">
        <f>40.2078 * CHOOSE(CONTROL!$C$9, $C$13, 100%, $E$13) + CHOOSE(CONTROL!$C$28, 0.0272, 0)</f>
        <v>40.234999999999999</v>
      </c>
      <c r="C542" s="4">
        <f>39.8445 * CHOOSE(CONTROL!$C$9, $C$13, 100%, $E$13) + CHOOSE(CONTROL!$C$28, 0.0272, 0)</f>
        <v>39.871699999999997</v>
      </c>
      <c r="D542" s="4">
        <f>56.5234 * CHOOSE(CONTROL!$C$9, $C$13, 100%, $E$13) + CHOOSE(CONTROL!$C$28, 0.0021, 0)</f>
        <v>56.525500000000001</v>
      </c>
      <c r="E542" s="4">
        <f>268.121124491364 * CHOOSE(CONTROL!$C$9, $C$13, 100%, $E$13) + CHOOSE(CONTROL!$C$28, 0.0021, 0)</f>
        <v>268.123224491364</v>
      </c>
    </row>
    <row r="543" spans="1:5" ht="15">
      <c r="A543" s="13">
        <v>57679</v>
      </c>
      <c r="B543" s="4">
        <f>39.3349 * CHOOSE(CONTROL!$C$9, $C$13, 100%, $E$13) + CHOOSE(CONTROL!$C$28, 0.0272, 0)</f>
        <v>39.362099999999998</v>
      </c>
      <c r="C543" s="4">
        <f>38.9716 * CHOOSE(CONTROL!$C$9, $C$13, 100%, $E$13) + CHOOSE(CONTROL!$C$28, 0.0272, 0)</f>
        <v>38.998800000000003</v>
      </c>
      <c r="D543" s="4">
        <f>56.2608 * CHOOSE(CONTROL!$C$9, $C$13, 100%, $E$13) + CHOOSE(CONTROL!$C$28, 0.0021, 0)</f>
        <v>56.262900000000002</v>
      </c>
      <c r="E543" s="4">
        <f>262.186229593911 * CHOOSE(CONTROL!$C$9, $C$13, 100%, $E$13) + CHOOSE(CONTROL!$C$28, 0.0021, 0)</f>
        <v>262.18832959391096</v>
      </c>
    </row>
    <row r="544" spans="1:5" ht="15">
      <c r="A544" s="13">
        <v>57710</v>
      </c>
      <c r="B544" s="4">
        <f>38.731 * CHOOSE(CONTROL!$C$9, $C$13, 100%, $E$13) + CHOOSE(CONTROL!$C$28, 0.0272, 0)</f>
        <v>38.758200000000002</v>
      </c>
      <c r="C544" s="4">
        <f>38.3677 * CHOOSE(CONTROL!$C$9, $C$13, 100%, $E$13) + CHOOSE(CONTROL!$C$28, 0.0272, 0)</f>
        <v>38.3949</v>
      </c>
      <c r="D544" s="4">
        <f>54.3274 * CHOOSE(CONTROL!$C$9, $C$13, 100%, $E$13) + CHOOSE(CONTROL!$C$28, 0.0021, 0)</f>
        <v>54.329499999999996</v>
      </c>
      <c r="E544" s="4">
        <f>258.080045222516 * CHOOSE(CONTROL!$C$9, $C$13, 100%, $E$13) + CHOOSE(CONTROL!$C$28, 0.0021, 0)</f>
        <v>258.08214522251598</v>
      </c>
    </row>
    <row r="545" spans="1:5" ht="15">
      <c r="A545" s="13">
        <v>57741</v>
      </c>
      <c r="B545" s="4">
        <f>37.0786 * CHOOSE(CONTROL!$C$9, $C$13, 100%, $E$13) + CHOOSE(CONTROL!$C$28, 0.0272, 0)</f>
        <v>37.105800000000002</v>
      </c>
      <c r="C545" s="4">
        <f>36.7154 * CHOOSE(CONTROL!$C$9, $C$13, 100%, $E$13) + CHOOSE(CONTROL!$C$28, 0.0272, 0)</f>
        <v>36.742600000000003</v>
      </c>
      <c r="D545" s="4">
        <f>52.1977 * CHOOSE(CONTROL!$C$9, $C$13, 100%, $E$13) + CHOOSE(CONTROL!$C$28, 0.0021, 0)</f>
        <v>52.199799999999996</v>
      </c>
      <c r="E545" s="4">
        <f>247.329962653931 * CHOOSE(CONTROL!$C$9, $C$13, 100%, $E$13) + CHOOSE(CONTROL!$C$28, 0.0021, 0)</f>
        <v>247.33206265393102</v>
      </c>
    </row>
    <row r="546" spans="1:5" ht="15">
      <c r="A546" s="13">
        <v>57769</v>
      </c>
      <c r="B546" s="4">
        <f>37.9407 * CHOOSE(CONTROL!$C$9, $C$13, 100%, $E$13) + CHOOSE(CONTROL!$C$28, 0.0272, 0)</f>
        <v>37.9679</v>
      </c>
      <c r="C546" s="4">
        <f>37.5774 * CHOOSE(CONTROL!$C$9, $C$13, 100%, $E$13) + CHOOSE(CONTROL!$C$28, 0.0272, 0)</f>
        <v>37.604599999999998</v>
      </c>
      <c r="D546" s="4">
        <f>53.9746 * CHOOSE(CONTROL!$C$9, $C$13, 100%, $E$13) + CHOOSE(CONTROL!$C$28, 0.0021, 0)</f>
        <v>53.976700000000001</v>
      </c>
      <c r="E546" s="4">
        <f>253.20255067232 * CHOOSE(CONTROL!$C$9, $C$13, 100%, $E$13) + CHOOSE(CONTROL!$C$28, 0.0021, 0)</f>
        <v>253.20465067232001</v>
      </c>
    </row>
    <row r="547" spans="1:5" ht="15">
      <c r="A547" s="13">
        <v>57800</v>
      </c>
      <c r="B547" s="4">
        <f>40.2044 * CHOOSE(CONTROL!$C$9, $C$13, 100%, $E$13) + CHOOSE(CONTROL!$C$28, 0.0272, 0)</f>
        <v>40.2316</v>
      </c>
      <c r="C547" s="4">
        <f>39.8411 * CHOOSE(CONTROL!$C$9, $C$13, 100%, $E$13) + CHOOSE(CONTROL!$C$28, 0.0272, 0)</f>
        <v>39.868299999999998</v>
      </c>
      <c r="D547" s="4">
        <f>56.7562 * CHOOSE(CONTROL!$C$9, $C$13, 100%, $E$13) + CHOOSE(CONTROL!$C$28, 0.0021, 0)</f>
        <v>56.758299999999998</v>
      </c>
      <c r="E547" s="4">
        <f>268.62427889689 * CHOOSE(CONTROL!$C$9, $C$13, 100%, $E$13) + CHOOSE(CONTROL!$C$28, 0.0021, 0)</f>
        <v>268.62637889689</v>
      </c>
    </row>
    <row r="548" spans="1:5" ht="15">
      <c r="A548" s="13">
        <v>57830</v>
      </c>
      <c r="B548" s="4">
        <f>41.8128 * CHOOSE(CONTROL!$C$9, $C$13, 100%, $E$13) + CHOOSE(CONTROL!$C$28, 0.0272, 0)</f>
        <v>41.84</v>
      </c>
      <c r="C548" s="4">
        <f>41.4495 * CHOOSE(CONTROL!$C$9, $C$13, 100%, $E$13) + CHOOSE(CONTROL!$C$28, 0.0272, 0)</f>
        <v>41.476700000000001</v>
      </c>
      <c r="D548" s="4">
        <f>58.3585 * CHOOSE(CONTROL!$C$9, $C$13, 100%, $E$13) + CHOOSE(CONTROL!$C$28, 0.0021, 0)</f>
        <v>58.360599999999998</v>
      </c>
      <c r="E548" s="4">
        <f>279.581622321999 * CHOOSE(CONTROL!$C$9, $C$13, 100%, $E$13) + CHOOSE(CONTROL!$C$28, 0.0021, 0)</f>
        <v>279.58372232199901</v>
      </c>
    </row>
    <row r="549" spans="1:5" ht="15">
      <c r="A549" s="13">
        <v>57861</v>
      </c>
      <c r="B549" s="4">
        <f>42.7955 * CHOOSE(CONTROL!$C$9, $C$13, 100%, $E$13) + CHOOSE(CONTROL!$C$28, 0.0272, 0)</f>
        <v>42.822699999999998</v>
      </c>
      <c r="C549" s="4">
        <f>42.4322 * CHOOSE(CONTROL!$C$9, $C$13, 100%, $E$13) + CHOOSE(CONTROL!$C$28, 0.0272, 0)</f>
        <v>42.459400000000002</v>
      </c>
      <c r="D549" s="4">
        <f>57.7254 * CHOOSE(CONTROL!$C$9, $C$13, 100%, $E$13) + CHOOSE(CONTROL!$C$28, 0.0021, 0)</f>
        <v>57.727499999999999</v>
      </c>
      <c r="E549" s="4">
        <f>286.276296543869 * CHOOSE(CONTROL!$C$9, $C$13, 100%, $E$13) + CHOOSE(CONTROL!$C$28, 0.0021, 0)</f>
        <v>286.27839654386901</v>
      </c>
    </row>
    <row r="550" spans="1:5" ht="15">
      <c r="A550" s="13">
        <v>57891</v>
      </c>
      <c r="B550" s="4">
        <f>42.9285 * CHOOSE(CONTROL!$C$9, $C$13, 100%, $E$13) + CHOOSE(CONTROL!$C$28, 0.0272, 0)</f>
        <v>42.9557</v>
      </c>
      <c r="C550" s="4">
        <f>42.5652 * CHOOSE(CONTROL!$C$9, $C$13, 100%, $E$13) + CHOOSE(CONTROL!$C$28, 0.0272, 0)</f>
        <v>42.592399999999998</v>
      </c>
      <c r="D550" s="4">
        <f>58.241 * CHOOSE(CONTROL!$C$9, $C$13, 100%, $E$13) + CHOOSE(CONTROL!$C$28, 0.0021, 0)</f>
        <v>58.243099999999998</v>
      </c>
      <c r="E550" s="4">
        <f>287.182113749557 * CHOOSE(CONTROL!$C$9, $C$13, 100%, $E$13) + CHOOSE(CONTROL!$C$28, 0.0021, 0)</f>
        <v>287.18421374955699</v>
      </c>
    </row>
    <row r="551" spans="1:5" ht="15">
      <c r="A551" s="13">
        <v>57922</v>
      </c>
      <c r="B551" s="4">
        <f>42.9151 * CHOOSE(CONTROL!$C$9, $C$13, 100%, $E$13) + CHOOSE(CONTROL!$C$28, 0.0272, 0)</f>
        <v>42.942300000000003</v>
      </c>
      <c r="C551" s="4">
        <f>42.5518 * CHOOSE(CONTROL!$C$9, $C$13, 100%, $E$13) + CHOOSE(CONTROL!$C$28, 0.0272, 0)</f>
        <v>42.579000000000001</v>
      </c>
      <c r="D551" s="4">
        <f>59.1715 * CHOOSE(CONTROL!$C$9, $C$13, 100%, $E$13) + CHOOSE(CONTROL!$C$28, 0.0021, 0)</f>
        <v>59.1736</v>
      </c>
      <c r="E551" s="4">
        <f>287.090770838059 * CHOOSE(CONTROL!$C$9, $C$13, 100%, $E$13) + CHOOSE(CONTROL!$C$28, 0.0021, 0)</f>
        <v>287.09287083805896</v>
      </c>
    </row>
    <row r="552" spans="1:5" ht="15">
      <c r="A552" s="13">
        <v>57953</v>
      </c>
      <c r="B552" s="4">
        <f>43.924 * CHOOSE(CONTROL!$C$9, $C$13, 100%, $E$13) + CHOOSE(CONTROL!$C$28, 0.0272, 0)</f>
        <v>43.9512</v>
      </c>
      <c r="C552" s="4">
        <f>43.5607 * CHOOSE(CONTROL!$C$9, $C$13, 100%, $E$13) + CHOOSE(CONTROL!$C$28, 0.0272, 0)</f>
        <v>43.587899999999998</v>
      </c>
      <c r="D552" s="4">
        <f>58.557 * CHOOSE(CONTROL!$C$9, $C$13, 100%, $E$13) + CHOOSE(CONTROL!$C$28, 0.0021, 0)</f>
        <v>58.559100000000001</v>
      </c>
      <c r="E552" s="4">
        <f>293.96432492828 * CHOOSE(CONTROL!$C$9, $C$13, 100%, $E$13) + CHOOSE(CONTROL!$C$28, 0.0021, 0)</f>
        <v>293.96642492827999</v>
      </c>
    </row>
    <row r="553" spans="1:5" ht="15">
      <c r="A553" s="13">
        <v>57983</v>
      </c>
      <c r="B553" s="4">
        <f>42.2044 * CHOOSE(CONTROL!$C$9, $C$13, 100%, $E$13) + CHOOSE(CONTROL!$C$28, 0.0272, 0)</f>
        <v>42.2316</v>
      </c>
      <c r="C553" s="4">
        <f>41.8412 * CHOOSE(CONTROL!$C$9, $C$13, 100%, $E$13) + CHOOSE(CONTROL!$C$28, 0.0272, 0)</f>
        <v>41.868400000000001</v>
      </c>
      <c r="D553" s="4">
        <f>58.2667 * CHOOSE(CONTROL!$C$9, $C$13, 100%, $E$13) + CHOOSE(CONTROL!$C$28, 0.0021, 0)</f>
        <v>58.268799999999999</v>
      </c>
      <c r="E553" s="4">
        <f>282.249596528668 * CHOOSE(CONTROL!$C$9, $C$13, 100%, $E$13) + CHOOSE(CONTROL!$C$28, 0.0021, 0)</f>
        <v>282.25169652866799</v>
      </c>
    </row>
    <row r="554" spans="1:5" ht="15">
      <c r="A554" s="13">
        <v>58014</v>
      </c>
      <c r="B554" s="4">
        <f>40.8279 * CHOOSE(CONTROL!$C$9, $C$13, 100%, $E$13) + CHOOSE(CONTROL!$C$28, 0.0272, 0)</f>
        <v>40.8551</v>
      </c>
      <c r="C554" s="4">
        <f>40.4646 * CHOOSE(CONTROL!$C$9, $C$13, 100%, $E$13) + CHOOSE(CONTROL!$C$28, 0.0272, 0)</f>
        <v>40.491799999999998</v>
      </c>
      <c r="D554" s="4">
        <f>57.4894 * CHOOSE(CONTROL!$C$9, $C$13, 100%, $E$13) + CHOOSE(CONTROL!$C$28, 0.0021, 0)</f>
        <v>57.491500000000002</v>
      </c>
      <c r="E554" s="4">
        <f>272.871724281545 * CHOOSE(CONTROL!$C$9, $C$13, 100%, $E$13) + CHOOSE(CONTROL!$C$28, 0.0021, 0)</f>
        <v>272.87382428154501</v>
      </c>
    </row>
    <row r="555" spans="1:5" ht="15">
      <c r="A555" s="13">
        <v>58044</v>
      </c>
      <c r="B555" s="4">
        <f>39.9413 * CHOOSE(CONTROL!$C$9, $C$13, 100%, $E$13) + CHOOSE(CONTROL!$C$28, 0.0272, 0)</f>
        <v>39.968499999999999</v>
      </c>
      <c r="C555" s="4">
        <f>39.578 * CHOOSE(CONTROL!$C$9, $C$13, 100%, $E$13) + CHOOSE(CONTROL!$C$28, 0.0272, 0)</f>
        <v>39.605200000000004</v>
      </c>
      <c r="D555" s="4">
        <f>57.2221 * CHOOSE(CONTROL!$C$9, $C$13, 100%, $E$13) + CHOOSE(CONTROL!$C$28, 0.0021, 0)</f>
        <v>57.224199999999996</v>
      </c>
      <c r="E555" s="4">
        <f>266.831674258743 * CHOOSE(CONTROL!$C$9, $C$13, 100%, $E$13) + CHOOSE(CONTROL!$C$28, 0.0021, 0)</f>
        <v>266.83377425874301</v>
      </c>
    </row>
    <row r="556" spans="1:5" ht="15">
      <c r="A556" s="13">
        <v>58075</v>
      </c>
      <c r="B556" s="4">
        <f>39.3278 * CHOOSE(CONTROL!$C$9, $C$13, 100%, $E$13) + CHOOSE(CONTROL!$C$28, 0.0272, 0)</f>
        <v>39.355000000000004</v>
      </c>
      <c r="C556" s="4">
        <f>38.9646 * CHOOSE(CONTROL!$C$9, $C$13, 100%, $E$13) + CHOOSE(CONTROL!$C$28, 0.0272, 0)</f>
        <v>38.991799999999998</v>
      </c>
      <c r="D556" s="4">
        <f>55.2546 * CHOOSE(CONTROL!$C$9, $C$13, 100%, $E$13) + CHOOSE(CONTROL!$C$28, 0.0021, 0)</f>
        <v>55.256700000000002</v>
      </c>
      <c r="E556" s="4">
        <f>262.652736057712 * CHOOSE(CONTROL!$C$9, $C$13, 100%, $E$13) + CHOOSE(CONTROL!$C$28, 0.0021, 0)</f>
        <v>262.65483605771198</v>
      </c>
    </row>
    <row r="557" spans="1:5" ht="15">
      <c r="A557" s="13">
        <v>58106</v>
      </c>
      <c r="B557" s="4">
        <f>37.6495 * CHOOSE(CONTROL!$C$9, $C$13, 100%, $E$13) + CHOOSE(CONTROL!$C$28, 0.0272, 0)</f>
        <v>37.676700000000004</v>
      </c>
      <c r="C557" s="4">
        <f>37.2863 * CHOOSE(CONTROL!$C$9, $C$13, 100%, $E$13) + CHOOSE(CONTROL!$C$28, 0.0272, 0)</f>
        <v>37.313499999999998</v>
      </c>
      <c r="D557" s="4">
        <f>53.0872 * CHOOSE(CONTROL!$C$9, $C$13, 100%, $E$13) + CHOOSE(CONTROL!$C$28, 0.0021, 0)</f>
        <v>53.089300000000001</v>
      </c>
      <c r="E557" s="4">
        <f>251.712182335122 * CHOOSE(CONTROL!$C$9, $C$13, 100%, $E$13) + CHOOSE(CONTROL!$C$28, 0.0021, 0)</f>
        <v>251.71428233512202</v>
      </c>
    </row>
    <row r="558" spans="1:5" ht="15">
      <c r="A558" s="13">
        <v>58134</v>
      </c>
      <c r="B558" s="4">
        <f>38.5251 * CHOOSE(CONTROL!$C$9, $C$13, 100%, $E$13) + CHOOSE(CONTROL!$C$28, 0.0272, 0)</f>
        <v>38.552300000000002</v>
      </c>
      <c r="C558" s="4">
        <f>38.1618 * CHOOSE(CONTROL!$C$9, $C$13, 100%, $E$13) + CHOOSE(CONTROL!$C$28, 0.0272, 0)</f>
        <v>38.189</v>
      </c>
      <c r="D558" s="4">
        <f>54.8955 * CHOOSE(CONTROL!$C$9, $C$13, 100%, $E$13) + CHOOSE(CONTROL!$C$28, 0.0021, 0)</f>
        <v>54.897599999999997</v>
      </c>
      <c r="E558" s="4">
        <f>257.688821518674 * CHOOSE(CONTROL!$C$9, $C$13, 100%, $E$13) + CHOOSE(CONTROL!$C$28, 0.0021, 0)</f>
        <v>257.69092151867397</v>
      </c>
    </row>
    <row r="559" spans="1:5" ht="15">
      <c r="A559" s="13">
        <v>58165</v>
      </c>
      <c r="B559" s="4">
        <f>40.8244 * CHOOSE(CONTROL!$C$9, $C$13, 100%, $E$13) + CHOOSE(CONTROL!$C$28, 0.0272, 0)</f>
        <v>40.851599999999998</v>
      </c>
      <c r="C559" s="4">
        <f>40.4612 * CHOOSE(CONTROL!$C$9, $C$13, 100%, $E$13) + CHOOSE(CONTROL!$C$28, 0.0272, 0)</f>
        <v>40.488399999999999</v>
      </c>
      <c r="D559" s="4">
        <f>57.7263 * CHOOSE(CONTROL!$C$9, $C$13, 100%, $E$13) + CHOOSE(CONTROL!$C$28, 0.0021, 0)</f>
        <v>57.728400000000001</v>
      </c>
      <c r="E559" s="4">
        <f>273.383793632576 * CHOOSE(CONTROL!$C$9, $C$13, 100%, $E$13) + CHOOSE(CONTROL!$C$28, 0.0021, 0)</f>
        <v>273.38589363257597</v>
      </c>
    </row>
    <row r="560" spans="1:5" ht="15">
      <c r="A560" s="13">
        <v>58195</v>
      </c>
      <c r="B560" s="4">
        <f>42.4582 * CHOOSE(CONTROL!$C$9, $C$13, 100%, $E$13) + CHOOSE(CONTROL!$C$28, 0.0272, 0)</f>
        <v>42.485399999999998</v>
      </c>
      <c r="C560" s="4">
        <f>42.0949 * CHOOSE(CONTROL!$C$9, $C$13, 100%, $E$13) + CHOOSE(CONTROL!$C$28, 0.0272, 0)</f>
        <v>42.122100000000003</v>
      </c>
      <c r="D560" s="4">
        <f>59.3569 * CHOOSE(CONTROL!$C$9, $C$13, 100%, $E$13) + CHOOSE(CONTROL!$C$28, 0.0021, 0)</f>
        <v>59.359000000000002</v>
      </c>
      <c r="E560" s="4">
        <f>284.535280482508 * CHOOSE(CONTROL!$C$9, $C$13, 100%, $E$13) + CHOOSE(CONTROL!$C$28, 0.0021, 0)</f>
        <v>284.53738048250801</v>
      </c>
    </row>
    <row r="561" spans="1:5" ht="15">
      <c r="A561" s="13">
        <v>58226</v>
      </c>
      <c r="B561" s="4">
        <f>43.4563 * CHOOSE(CONTROL!$C$9, $C$13, 100%, $E$13) + CHOOSE(CONTROL!$C$28, 0.0272, 0)</f>
        <v>43.483499999999999</v>
      </c>
      <c r="C561" s="4">
        <f>43.093 * CHOOSE(CONTROL!$C$9, $C$13, 100%, $E$13) + CHOOSE(CONTROL!$C$28, 0.0272, 0)</f>
        <v>43.120200000000004</v>
      </c>
      <c r="D561" s="4">
        <f>58.7126 * CHOOSE(CONTROL!$C$9, $C$13, 100%, $E$13) + CHOOSE(CONTROL!$C$28, 0.0021, 0)</f>
        <v>58.714700000000001</v>
      </c>
      <c r="E561" s="4">
        <f>291.348571683977 * CHOOSE(CONTROL!$C$9, $C$13, 100%, $E$13) + CHOOSE(CONTROL!$C$28, 0.0021, 0)</f>
        <v>291.350671683977</v>
      </c>
    </row>
    <row r="562" spans="1:5" ht="15">
      <c r="A562" s="13">
        <v>58256</v>
      </c>
      <c r="B562" s="4">
        <f>43.5914 * CHOOSE(CONTROL!$C$9, $C$13, 100%, $E$13) + CHOOSE(CONTROL!$C$28, 0.0272, 0)</f>
        <v>43.618600000000001</v>
      </c>
      <c r="C562" s="4">
        <f>43.2281 * CHOOSE(CONTROL!$C$9, $C$13, 100%, $E$13) + CHOOSE(CONTROL!$C$28, 0.0272, 0)</f>
        <v>43.255299999999998</v>
      </c>
      <c r="D562" s="4">
        <f>59.2373 * CHOOSE(CONTROL!$C$9, $C$13, 100%, $E$13) + CHOOSE(CONTROL!$C$28, 0.0021, 0)</f>
        <v>59.239399999999996</v>
      </c>
      <c r="E562" s="4">
        <f>292.270438259275 * CHOOSE(CONTROL!$C$9, $C$13, 100%, $E$13) + CHOOSE(CONTROL!$C$28, 0.0021, 0)</f>
        <v>292.272538259275</v>
      </c>
    </row>
    <row r="563" spans="1:5" ht="15">
      <c r="A563" s="13">
        <v>58287</v>
      </c>
      <c r="B563" s="4">
        <f>43.5777 * CHOOSE(CONTROL!$C$9, $C$13, 100%, $E$13) + CHOOSE(CONTROL!$C$28, 0.0272, 0)</f>
        <v>43.604900000000001</v>
      </c>
      <c r="C563" s="4">
        <f>43.2145 * CHOOSE(CONTROL!$C$9, $C$13, 100%, $E$13) + CHOOSE(CONTROL!$C$28, 0.0272, 0)</f>
        <v>43.241700000000002</v>
      </c>
      <c r="D563" s="4">
        <f>60.1842 * CHOOSE(CONTROL!$C$9, $C$13, 100%, $E$13) + CHOOSE(CONTROL!$C$28, 0.0021, 0)</f>
        <v>60.186299999999996</v>
      </c>
      <c r="E563" s="4">
        <f>292.177476923951 * CHOOSE(CONTROL!$C$9, $C$13, 100%, $E$13) + CHOOSE(CONTROL!$C$28, 0.0021, 0)</f>
        <v>292.179576923951</v>
      </c>
    </row>
    <row r="564" spans="1:5" ht="15">
      <c r="A564" s="13">
        <v>58318</v>
      </c>
      <c r="B564" s="4">
        <f>44.6026 * CHOOSE(CONTROL!$C$9, $C$13, 100%, $E$13) + CHOOSE(CONTROL!$C$28, 0.0272, 0)</f>
        <v>44.629800000000003</v>
      </c>
      <c r="C564" s="4">
        <f>44.2393 * CHOOSE(CONTROL!$C$9, $C$13, 100%, $E$13) + CHOOSE(CONTROL!$C$28, 0.0272, 0)</f>
        <v>44.266500000000001</v>
      </c>
      <c r="D564" s="4">
        <f>59.5589 * CHOOSE(CONTROL!$C$9, $C$13, 100%, $E$13) + CHOOSE(CONTROL!$C$28, 0.0021, 0)</f>
        <v>59.561</v>
      </c>
      <c r="E564" s="4">
        <f>299.172817407097 * CHOOSE(CONTROL!$C$9, $C$13, 100%, $E$13) + CHOOSE(CONTROL!$C$28, 0.0021, 0)</f>
        <v>299.17491740709698</v>
      </c>
    </row>
    <row r="565" spans="1:5" ht="15">
      <c r="A565" s="13">
        <v>58348</v>
      </c>
      <c r="B565" s="4">
        <f>42.8559 * CHOOSE(CONTROL!$C$9, $C$13, 100%, $E$13) + CHOOSE(CONTROL!$C$28, 0.0272, 0)</f>
        <v>42.883099999999999</v>
      </c>
      <c r="C565" s="4">
        <f>42.4927 * CHOOSE(CONTROL!$C$9, $C$13, 100%, $E$13) + CHOOSE(CONTROL!$C$28, 0.0272, 0)</f>
        <v>42.5199</v>
      </c>
      <c r="D565" s="4">
        <f>59.2634 * CHOOSE(CONTROL!$C$9, $C$13, 100%, $E$13) + CHOOSE(CONTROL!$C$28, 0.0021, 0)</f>
        <v>59.265499999999996</v>
      </c>
      <c r="E565" s="4">
        <f>287.250526151768 * CHOOSE(CONTROL!$C$9, $C$13, 100%, $E$13) + CHOOSE(CONTROL!$C$28, 0.0021, 0)</f>
        <v>287.25262615176797</v>
      </c>
    </row>
    <row r="566" spans="1:5" ht="15">
      <c r="A566" s="13">
        <v>58379</v>
      </c>
      <c r="B566" s="4">
        <f>41.4577 * CHOOSE(CONTROL!$C$9, $C$13, 100%, $E$13) + CHOOSE(CONTROL!$C$28, 0.0272, 0)</f>
        <v>41.484900000000003</v>
      </c>
      <c r="C566" s="4">
        <f>41.0944 * CHOOSE(CONTROL!$C$9, $C$13, 100%, $E$13) + CHOOSE(CONTROL!$C$28, 0.0272, 0)</f>
        <v>41.121600000000001</v>
      </c>
      <c r="D566" s="4">
        <f>58.4724 * CHOOSE(CONTROL!$C$9, $C$13, 100%, $E$13) + CHOOSE(CONTROL!$C$28, 0.0021, 0)</f>
        <v>58.474499999999999</v>
      </c>
      <c r="E566" s="4">
        <f>277.706495725151 * CHOOSE(CONTROL!$C$9, $C$13, 100%, $E$13) + CHOOSE(CONTROL!$C$28, 0.0021, 0)</f>
        <v>277.70859572515099</v>
      </c>
    </row>
    <row r="567" spans="1:5" ht="15">
      <c r="A567" s="13">
        <v>58409</v>
      </c>
      <c r="B567" s="4">
        <f>40.5572 * CHOOSE(CONTROL!$C$9, $C$13, 100%, $E$13) + CHOOSE(CONTROL!$C$28, 0.0272, 0)</f>
        <v>40.584400000000002</v>
      </c>
      <c r="C567" s="4">
        <f>40.1939 * CHOOSE(CONTROL!$C$9, $C$13, 100%, $E$13) + CHOOSE(CONTROL!$C$28, 0.0272, 0)</f>
        <v>40.2211</v>
      </c>
      <c r="D567" s="4">
        <f>58.2004 * CHOOSE(CONTROL!$C$9, $C$13, 100%, $E$13) + CHOOSE(CONTROL!$C$28, 0.0021, 0)</f>
        <v>58.202500000000001</v>
      </c>
      <c r="E567" s="4">
        <f>271.559427426838 * CHOOSE(CONTROL!$C$9, $C$13, 100%, $E$13) + CHOOSE(CONTROL!$C$28, 0.0021, 0)</f>
        <v>271.56152742683798</v>
      </c>
    </row>
    <row r="568" spans="1:5" ht="15">
      <c r="A568" s="13">
        <v>58440</v>
      </c>
      <c r="B568" s="4">
        <f>39.9341 * CHOOSE(CONTROL!$C$9, $C$13, 100%, $E$13) + CHOOSE(CONTROL!$C$28, 0.0272, 0)</f>
        <v>39.961300000000001</v>
      </c>
      <c r="C568" s="4">
        <f>39.5708 * CHOOSE(CONTROL!$C$9, $C$13, 100%, $E$13) + CHOOSE(CONTROL!$C$28, 0.0272, 0)</f>
        <v>39.597999999999999</v>
      </c>
      <c r="D568" s="4">
        <f>56.1981 * CHOOSE(CONTROL!$C$9, $C$13, 100%, $E$13) + CHOOSE(CONTROL!$C$28, 0.0021, 0)</f>
        <v>56.200199999999995</v>
      </c>
      <c r="E568" s="4">
        <f>267.306446335756 * CHOOSE(CONTROL!$C$9, $C$13, 100%, $E$13) + CHOOSE(CONTROL!$C$28, 0.0021, 0)</f>
        <v>267.30854633575598</v>
      </c>
    </row>
    <row r="569" spans="1:5" ht="15">
      <c r="A569" s="13">
        <v>58471</v>
      </c>
      <c r="B569" s="4">
        <f>38.2294 * CHOOSE(CONTROL!$C$9, $C$13, 100%, $E$13) + CHOOSE(CONTROL!$C$28, 0.0272, 0)</f>
        <v>38.256599999999999</v>
      </c>
      <c r="C569" s="4">
        <f>37.8661 * CHOOSE(CONTROL!$C$9, $C$13, 100%, $E$13) + CHOOSE(CONTROL!$C$28, 0.0272, 0)</f>
        <v>37.893300000000004</v>
      </c>
      <c r="D569" s="4">
        <f>53.9925 * CHOOSE(CONTROL!$C$9, $C$13, 100%, $E$13) + CHOOSE(CONTROL!$C$28, 0.0021, 0)</f>
        <v>53.994599999999998</v>
      </c>
      <c r="E569" s="4">
        <f>256.172046670153 * CHOOSE(CONTROL!$C$9, $C$13, 100%, $E$13) + CHOOSE(CONTROL!$C$28, 0.0021, 0)</f>
        <v>256.17414667015299</v>
      </c>
    </row>
    <row r="570" spans="1:5" ht="15">
      <c r="A570" s="13">
        <v>58499</v>
      </c>
      <c r="B570" s="4">
        <f>39.1188 * CHOOSE(CONTROL!$C$9, $C$13, 100%, $E$13) + CHOOSE(CONTROL!$C$28, 0.0272, 0)</f>
        <v>39.146000000000001</v>
      </c>
      <c r="C570" s="4">
        <f>38.7555 * CHOOSE(CONTROL!$C$9, $C$13, 100%, $E$13) + CHOOSE(CONTROL!$C$28, 0.0272, 0)</f>
        <v>38.782699999999998</v>
      </c>
      <c r="D570" s="4">
        <f>55.8327 * CHOOSE(CONTROL!$C$9, $C$13, 100%, $E$13) + CHOOSE(CONTROL!$C$28, 0.0021, 0)</f>
        <v>55.834800000000001</v>
      </c>
      <c r="E570" s="4">
        <f>262.254580608939 * CHOOSE(CONTROL!$C$9, $C$13, 100%, $E$13) + CHOOSE(CONTROL!$C$28, 0.0021, 0)</f>
        <v>262.25668060893901</v>
      </c>
    </row>
    <row r="571" spans="1:5" ht="15">
      <c r="A571" s="13">
        <v>58531</v>
      </c>
      <c r="B571" s="4">
        <f>41.4542 * CHOOSE(CONTROL!$C$9, $C$13, 100%, $E$13) + CHOOSE(CONTROL!$C$28, 0.0272, 0)</f>
        <v>41.481400000000001</v>
      </c>
      <c r="C571" s="4">
        <f>41.091 * CHOOSE(CONTROL!$C$9, $C$13, 100%, $E$13) + CHOOSE(CONTROL!$C$28, 0.0272, 0)</f>
        <v>41.118200000000002</v>
      </c>
      <c r="D571" s="4">
        <f>58.7135 * CHOOSE(CONTROL!$C$9, $C$13, 100%, $E$13) + CHOOSE(CONTROL!$C$28, 0.0021, 0)</f>
        <v>58.715600000000002</v>
      </c>
      <c r="E571" s="4">
        <f>278.227637977678 * CHOOSE(CONTROL!$C$9, $C$13, 100%, $E$13) + CHOOSE(CONTROL!$C$28, 0.0021, 0)</f>
        <v>278.22973797767798</v>
      </c>
    </row>
    <row r="572" spans="1:5" ht="15">
      <c r="A572" s="13">
        <v>58561</v>
      </c>
      <c r="B572" s="4">
        <f>43.1136 * CHOOSE(CONTROL!$C$9, $C$13, 100%, $E$13) + CHOOSE(CONTROL!$C$28, 0.0272, 0)</f>
        <v>43.140799999999999</v>
      </c>
      <c r="C572" s="4">
        <f>42.7504 * CHOOSE(CONTROL!$C$9, $C$13, 100%, $E$13) + CHOOSE(CONTROL!$C$28, 0.0272, 0)</f>
        <v>42.7776</v>
      </c>
      <c r="D572" s="4">
        <f>60.3729 * CHOOSE(CONTROL!$C$9, $C$13, 100%, $E$13) + CHOOSE(CONTROL!$C$28, 0.0021, 0)</f>
        <v>60.375</v>
      </c>
      <c r="E572" s="4">
        <f>289.576708107144 * CHOOSE(CONTROL!$C$9, $C$13, 100%, $E$13) + CHOOSE(CONTROL!$C$28, 0.0021, 0)</f>
        <v>289.57880810714397</v>
      </c>
    </row>
    <row r="573" spans="1:5" ht="15">
      <c r="A573" s="13">
        <v>58592</v>
      </c>
      <c r="B573" s="4">
        <f>44.1275 * CHOOSE(CONTROL!$C$9, $C$13, 100%, $E$13) + CHOOSE(CONTROL!$C$28, 0.0272, 0)</f>
        <v>44.154699999999998</v>
      </c>
      <c r="C573" s="4">
        <f>43.7642 * CHOOSE(CONTROL!$C$9, $C$13, 100%, $E$13) + CHOOSE(CONTROL!$C$28, 0.0272, 0)</f>
        <v>43.791400000000003</v>
      </c>
      <c r="D573" s="4">
        <f>59.7172 * CHOOSE(CONTROL!$C$9, $C$13, 100%, $E$13) + CHOOSE(CONTROL!$C$28, 0.0021, 0)</f>
        <v>59.719299999999997</v>
      </c>
      <c r="E573" s="4">
        <f>296.510717956999 * CHOOSE(CONTROL!$C$9, $C$13, 100%, $E$13) + CHOOSE(CONTROL!$C$28, 0.0021, 0)</f>
        <v>296.51281795699896</v>
      </c>
    </row>
    <row r="574" spans="1:5" ht="15">
      <c r="A574" s="13">
        <v>58622</v>
      </c>
      <c r="B574" s="4">
        <f>44.2647 * CHOOSE(CONTROL!$C$9, $C$13, 100%, $E$13) + CHOOSE(CONTROL!$C$28, 0.0272, 0)</f>
        <v>44.291899999999998</v>
      </c>
      <c r="C574" s="4">
        <f>43.9014 * CHOOSE(CONTROL!$C$9, $C$13, 100%, $E$13) + CHOOSE(CONTROL!$C$28, 0.0272, 0)</f>
        <v>43.928600000000003</v>
      </c>
      <c r="D574" s="4">
        <f>60.2512 * CHOOSE(CONTROL!$C$9, $C$13, 100%, $E$13) + CHOOSE(CONTROL!$C$28, 0.0021, 0)</f>
        <v>60.253299999999996</v>
      </c>
      <c r="E574" s="4">
        <f>297.448918266416 * CHOOSE(CONTROL!$C$9, $C$13, 100%, $E$13) + CHOOSE(CONTROL!$C$28, 0.0021, 0)</f>
        <v>297.45101826641599</v>
      </c>
    </row>
    <row r="575" spans="1:5" ht="15">
      <c r="A575" s="13">
        <v>58653</v>
      </c>
      <c r="B575" s="4">
        <f>44.2508 * CHOOSE(CONTROL!$C$9, $C$13, 100%, $E$13) + CHOOSE(CONTROL!$C$28, 0.0272, 0)</f>
        <v>44.277999999999999</v>
      </c>
      <c r="C575" s="4">
        <f>43.8876 * CHOOSE(CONTROL!$C$9, $C$13, 100%, $E$13) + CHOOSE(CONTROL!$C$28, 0.0272, 0)</f>
        <v>43.9148</v>
      </c>
      <c r="D575" s="4">
        <f>61.2148 * CHOOSE(CONTROL!$C$9, $C$13, 100%, $E$13) + CHOOSE(CONTROL!$C$28, 0.0021, 0)</f>
        <v>61.216899999999995</v>
      </c>
      <c r="E575" s="4">
        <f>297.354309831853 * CHOOSE(CONTROL!$C$9, $C$13, 100%, $E$13) + CHOOSE(CONTROL!$C$28, 0.0021, 0)</f>
        <v>297.356409831853</v>
      </c>
    </row>
    <row r="576" spans="1:5" ht="15">
      <c r="A576" s="13">
        <v>58684</v>
      </c>
      <c r="B576" s="4">
        <f>45.2918 * CHOOSE(CONTROL!$C$9, $C$13, 100%, $E$13) + CHOOSE(CONTROL!$C$28, 0.0272, 0)</f>
        <v>45.319000000000003</v>
      </c>
      <c r="C576" s="4">
        <f>44.9285 * CHOOSE(CONTROL!$C$9, $C$13, 100%, $E$13) + CHOOSE(CONTROL!$C$28, 0.0272, 0)</f>
        <v>44.9557</v>
      </c>
      <c r="D576" s="4">
        <f>60.5785 * CHOOSE(CONTROL!$C$9, $C$13, 100%, $E$13) + CHOOSE(CONTROL!$C$28, 0.0021, 0)</f>
        <v>60.580599999999997</v>
      </c>
      <c r="E576" s="4">
        <f>304.473594532727 * CHOOSE(CONTROL!$C$9, $C$13, 100%, $E$13) + CHOOSE(CONTROL!$C$28, 0.0021, 0)</f>
        <v>304.475694532727</v>
      </c>
    </row>
    <row r="577" spans="1:5" ht="15">
      <c r="A577" s="13">
        <v>58714</v>
      </c>
      <c r="B577" s="4">
        <f>43.5177 * CHOOSE(CONTROL!$C$9, $C$13, 100%, $E$13) + CHOOSE(CONTROL!$C$28, 0.0272, 0)</f>
        <v>43.544899999999998</v>
      </c>
      <c r="C577" s="4">
        <f>43.1544 * CHOOSE(CONTROL!$C$9, $C$13, 100%, $E$13) + CHOOSE(CONTROL!$C$28, 0.0272, 0)</f>
        <v>43.181600000000003</v>
      </c>
      <c r="D577" s="4">
        <f>60.2778 * CHOOSE(CONTROL!$C$9, $C$13, 100%, $E$13) + CHOOSE(CONTROL!$C$28, 0.0021, 0)</f>
        <v>60.279899999999998</v>
      </c>
      <c r="E577" s="4">
        <f>292.340062800008 * CHOOSE(CONTROL!$C$9, $C$13, 100%, $E$13) + CHOOSE(CONTROL!$C$28, 0.0021, 0)</f>
        <v>292.342162800008</v>
      </c>
    </row>
    <row r="578" spans="1:5" ht="15">
      <c r="A578" s="13">
        <v>58745</v>
      </c>
      <c r="B578" s="4">
        <f>42.0975 * CHOOSE(CONTROL!$C$9, $C$13, 100%, $E$13) + CHOOSE(CONTROL!$C$28, 0.0272, 0)</f>
        <v>42.124699999999997</v>
      </c>
      <c r="C578" s="4">
        <f>41.7342 * CHOOSE(CONTROL!$C$9, $C$13, 100%, $E$13) + CHOOSE(CONTROL!$C$28, 0.0272, 0)</f>
        <v>41.761400000000002</v>
      </c>
      <c r="D578" s="4">
        <f>59.4728 * CHOOSE(CONTROL!$C$9, $C$13, 100%, $E$13) + CHOOSE(CONTROL!$C$28, 0.0021, 0)</f>
        <v>59.474899999999998</v>
      </c>
      <c r="E578" s="4">
        <f>282.626930184862 * CHOOSE(CONTROL!$C$9, $C$13, 100%, $E$13) + CHOOSE(CONTROL!$C$28, 0.0021, 0)</f>
        <v>282.62903018486196</v>
      </c>
    </row>
    <row r="579" spans="1:5" ht="15">
      <c r="A579" s="13">
        <v>58775</v>
      </c>
      <c r="B579" s="4">
        <f>41.1828 * CHOOSE(CONTROL!$C$9, $C$13, 100%, $E$13) + CHOOSE(CONTROL!$C$28, 0.0272, 0)</f>
        <v>41.21</v>
      </c>
      <c r="C579" s="4">
        <f>40.8195 * CHOOSE(CONTROL!$C$9, $C$13, 100%, $E$13) + CHOOSE(CONTROL!$C$28, 0.0272, 0)</f>
        <v>40.846699999999998</v>
      </c>
      <c r="D579" s="4">
        <f>59.196 * CHOOSE(CONTROL!$C$9, $C$13, 100%, $E$13) + CHOOSE(CONTROL!$C$28, 0.0021, 0)</f>
        <v>59.198099999999997</v>
      </c>
      <c r="E579" s="4">
        <f>276.370947449377 * CHOOSE(CONTROL!$C$9, $C$13, 100%, $E$13) + CHOOSE(CONTROL!$C$28, 0.0021, 0)</f>
        <v>276.373047449377</v>
      </c>
    </row>
    <row r="580" spans="1:5" ht="15">
      <c r="A580" s="13">
        <v>58806</v>
      </c>
      <c r="B580" s="4">
        <f>40.5499 * CHOOSE(CONTROL!$C$9, $C$13, 100%, $E$13) + CHOOSE(CONTROL!$C$28, 0.0272, 0)</f>
        <v>40.577100000000002</v>
      </c>
      <c r="C580" s="4">
        <f>40.1866 * CHOOSE(CONTROL!$C$9, $C$13, 100%, $E$13) + CHOOSE(CONTROL!$C$28, 0.0272, 0)</f>
        <v>40.213799999999999</v>
      </c>
      <c r="D580" s="4">
        <f>57.1583 * CHOOSE(CONTROL!$C$9, $C$13, 100%, $E$13) + CHOOSE(CONTROL!$C$28, 0.0021, 0)</f>
        <v>57.160399999999996</v>
      </c>
      <c r="E580" s="4">
        <f>272.042611568114 * CHOOSE(CONTROL!$C$9, $C$13, 100%, $E$13) + CHOOSE(CONTROL!$C$28, 0.0021, 0)</f>
        <v>272.044711568114</v>
      </c>
    </row>
    <row r="581" spans="1:5" ht="15">
      <c r="A581" s="13">
        <v>58837</v>
      </c>
      <c r="B581" s="4">
        <f>38.8184 * CHOOSE(CONTROL!$C$9, $C$13, 100%, $E$13) + CHOOSE(CONTROL!$C$28, 0.0272, 0)</f>
        <v>38.845599999999997</v>
      </c>
      <c r="C581" s="4">
        <f>38.4551 * CHOOSE(CONTROL!$C$9, $C$13, 100%, $E$13) + CHOOSE(CONTROL!$C$28, 0.0272, 0)</f>
        <v>38.482300000000002</v>
      </c>
      <c r="D581" s="4">
        <f>54.9137 * CHOOSE(CONTROL!$C$9, $C$13, 100%, $E$13) + CHOOSE(CONTROL!$C$28, 0.0021, 0)</f>
        <v>54.915799999999997</v>
      </c>
      <c r="E581" s="4">
        <f>260.710931375601 * CHOOSE(CONTROL!$C$9, $C$13, 100%, $E$13) + CHOOSE(CONTROL!$C$28, 0.0021, 0)</f>
        <v>260.71303137560096</v>
      </c>
    </row>
    <row r="582" spans="1:5" ht="15">
      <c r="A582" s="13">
        <v>58865</v>
      </c>
      <c r="B582" s="4">
        <f>39.7217 * CHOOSE(CONTROL!$C$9, $C$13, 100%, $E$13) + CHOOSE(CONTROL!$C$28, 0.0272, 0)</f>
        <v>39.748899999999999</v>
      </c>
      <c r="C582" s="4">
        <f>39.3585 * CHOOSE(CONTROL!$C$9, $C$13, 100%, $E$13) + CHOOSE(CONTROL!$C$28, 0.0272, 0)</f>
        <v>39.3857</v>
      </c>
      <c r="D582" s="4">
        <f>56.7865 * CHOOSE(CONTROL!$C$9, $C$13, 100%, $E$13) + CHOOSE(CONTROL!$C$28, 0.0021, 0)</f>
        <v>56.788599999999995</v>
      </c>
      <c r="E582" s="4">
        <f>266.901236324629 * CHOOSE(CONTROL!$C$9, $C$13, 100%, $E$13) + CHOOSE(CONTROL!$C$28, 0.0021, 0)</f>
        <v>266.90333632462898</v>
      </c>
    </row>
    <row r="583" spans="1:5" ht="15">
      <c r="A583" s="13">
        <v>58893</v>
      </c>
      <c r="B583" s="4">
        <f>42.0939 * CHOOSE(CONTROL!$C$9, $C$13, 100%, $E$13) + CHOOSE(CONTROL!$C$28, 0.0272, 0)</f>
        <v>42.121099999999998</v>
      </c>
      <c r="C583" s="4">
        <f>41.7307 * CHOOSE(CONTROL!$C$9, $C$13, 100%, $E$13) + CHOOSE(CONTROL!$C$28, 0.0272, 0)</f>
        <v>41.757899999999999</v>
      </c>
      <c r="D583" s="4">
        <f>59.7182 * CHOOSE(CONTROL!$C$9, $C$13, 100%, $E$13) + CHOOSE(CONTROL!$C$28, 0.0021, 0)</f>
        <v>59.720300000000002</v>
      </c>
      <c r="E583" s="4">
        <f>283.157306093559 * CHOOSE(CONTROL!$C$9, $C$13, 100%, $E$13) + CHOOSE(CONTROL!$C$28, 0.0021, 0)</f>
        <v>283.15940609355897</v>
      </c>
    </row>
    <row r="584" spans="1:5" ht="15">
      <c r="A584" s="13">
        <v>58926</v>
      </c>
      <c r="B584" s="4">
        <f>43.7794 * CHOOSE(CONTROL!$C$9, $C$13, 100%, $E$13) + CHOOSE(CONTROL!$C$28, 0.0272, 0)</f>
        <v>43.806600000000003</v>
      </c>
      <c r="C584" s="4">
        <f>43.4162 * CHOOSE(CONTROL!$C$9, $C$13, 100%, $E$13) + CHOOSE(CONTROL!$C$28, 0.0272, 0)</f>
        <v>43.443400000000004</v>
      </c>
      <c r="D584" s="4">
        <f>61.4069 * CHOOSE(CONTROL!$C$9, $C$13, 100%, $E$13) + CHOOSE(CONTROL!$C$28, 0.0021, 0)</f>
        <v>61.408999999999999</v>
      </c>
      <c r="E584" s="4">
        <f>294.707460304998 * CHOOSE(CONTROL!$C$9, $C$13, 100%, $E$13) + CHOOSE(CONTROL!$C$28, 0.0021, 0)</f>
        <v>294.70956030499798</v>
      </c>
    </row>
    <row r="585" spans="1:5" ht="15">
      <c r="A585" s="13">
        <v>58957</v>
      </c>
      <c r="B585" s="4">
        <f>44.8092 * CHOOSE(CONTROL!$C$9, $C$13, 100%, $E$13) + CHOOSE(CONTROL!$C$28, 0.0272, 0)</f>
        <v>44.836399999999998</v>
      </c>
      <c r="C585" s="4">
        <f>44.4459 * CHOOSE(CONTROL!$C$9, $C$13, 100%, $E$13) + CHOOSE(CONTROL!$C$28, 0.0272, 0)</f>
        <v>44.473100000000002</v>
      </c>
      <c r="D585" s="4">
        <f>60.7396 * CHOOSE(CONTROL!$C$9, $C$13, 100%, $E$13) + CHOOSE(CONTROL!$C$28, 0.0021, 0)</f>
        <v>60.741700000000002</v>
      </c>
      <c r="E585" s="4">
        <f>301.764327709625 * CHOOSE(CONTROL!$C$9, $C$13, 100%, $E$13) + CHOOSE(CONTROL!$C$28, 0.0021, 0)</f>
        <v>301.76642770962496</v>
      </c>
    </row>
    <row r="586" spans="1:5" ht="15">
      <c r="A586" s="13">
        <v>58987</v>
      </c>
      <c r="B586" s="4">
        <f>44.9486 * CHOOSE(CONTROL!$C$9, $C$13, 100%, $E$13) + CHOOSE(CONTROL!$C$28, 0.0272, 0)</f>
        <v>44.9758</v>
      </c>
      <c r="C586" s="4">
        <f>44.5853 * CHOOSE(CONTROL!$C$9, $C$13, 100%, $E$13) + CHOOSE(CONTROL!$C$28, 0.0272, 0)</f>
        <v>44.612499999999997</v>
      </c>
      <c r="D586" s="4">
        <f>61.2831 * CHOOSE(CONTROL!$C$9, $C$13, 100%, $E$13) + CHOOSE(CONTROL!$C$28, 0.0021, 0)</f>
        <v>61.285199999999996</v>
      </c>
      <c r="E586" s="4">
        <f>302.719151156072 * CHOOSE(CONTROL!$C$9, $C$13, 100%, $E$13) + CHOOSE(CONTROL!$C$28, 0.0021, 0)</f>
        <v>302.72125115607196</v>
      </c>
    </row>
    <row r="587" spans="1:5" ht="15">
      <c r="A587" s="13">
        <v>59018</v>
      </c>
      <c r="B587" s="4">
        <f>44.9345 * CHOOSE(CONTROL!$C$9, $C$13, 100%, $E$13) + CHOOSE(CONTROL!$C$28, 0.0272, 0)</f>
        <v>44.9617</v>
      </c>
      <c r="C587" s="4">
        <f>44.5712 * CHOOSE(CONTROL!$C$9, $C$13, 100%, $E$13) + CHOOSE(CONTROL!$C$28, 0.0272, 0)</f>
        <v>44.598399999999998</v>
      </c>
      <c r="D587" s="4">
        <f>62.2637 * CHOOSE(CONTROL!$C$9, $C$13, 100%, $E$13) + CHOOSE(CONTROL!$C$28, 0.0021, 0)</f>
        <v>62.265799999999999</v>
      </c>
      <c r="E587" s="4">
        <f>302.622866438784 * CHOOSE(CONTROL!$C$9, $C$13, 100%, $E$13) + CHOOSE(CONTROL!$C$28, 0.0021, 0)</f>
        <v>302.62496643878399</v>
      </c>
    </row>
    <row r="588" spans="1:5" ht="15">
      <c r="A588" s="13">
        <v>59049</v>
      </c>
      <c r="B588" s="4">
        <f>45.9918 * CHOOSE(CONTROL!$C$9, $C$13, 100%, $E$13) + CHOOSE(CONTROL!$C$28, 0.0272, 0)</f>
        <v>46.018999999999998</v>
      </c>
      <c r="C588" s="4">
        <f>45.6285 * CHOOSE(CONTROL!$C$9, $C$13, 100%, $E$13) + CHOOSE(CONTROL!$C$28, 0.0272, 0)</f>
        <v>45.655700000000003</v>
      </c>
      <c r="D588" s="4">
        <f>61.6161 * CHOOSE(CONTROL!$C$9, $C$13, 100%, $E$13) + CHOOSE(CONTROL!$C$28, 0.0021, 0)</f>
        <v>61.618200000000002</v>
      </c>
      <c r="E588" s="4">
        <f>309.868291414768 * CHOOSE(CONTROL!$C$9, $C$13, 100%, $E$13) + CHOOSE(CONTROL!$C$28, 0.0021, 0)</f>
        <v>309.87039141476799</v>
      </c>
    </row>
    <row r="589" spans="1:5" ht="15">
      <c r="A589" s="13">
        <v>59079</v>
      </c>
      <c r="B589" s="4">
        <f>44.1898 * CHOOSE(CONTROL!$C$9, $C$13, 100%, $E$13) + CHOOSE(CONTROL!$C$28, 0.0272, 0)</f>
        <v>44.216999999999999</v>
      </c>
      <c r="C589" s="4">
        <f>43.8266 * CHOOSE(CONTROL!$C$9, $C$13, 100%, $E$13) + CHOOSE(CONTROL!$C$28, 0.0272, 0)</f>
        <v>43.8538</v>
      </c>
      <c r="D589" s="4">
        <f>61.3101 * CHOOSE(CONTROL!$C$9, $C$13, 100%, $E$13) + CHOOSE(CONTROL!$C$28, 0.0021, 0)</f>
        <v>61.312199999999997</v>
      </c>
      <c r="E589" s="4">
        <f>297.519776422476 * CHOOSE(CONTROL!$C$9, $C$13, 100%, $E$13) + CHOOSE(CONTROL!$C$28, 0.0021, 0)</f>
        <v>297.521876422476</v>
      </c>
    </row>
    <row r="590" spans="1:5" ht="15">
      <c r="A590" s="13">
        <v>59110</v>
      </c>
      <c r="B590" s="4">
        <f>42.7473 * CHOOSE(CONTROL!$C$9, $C$13, 100%, $E$13) + CHOOSE(CONTROL!$C$28, 0.0272, 0)</f>
        <v>42.774500000000003</v>
      </c>
      <c r="C590" s="4">
        <f>42.384 * CHOOSE(CONTROL!$C$9, $C$13, 100%, $E$13) + CHOOSE(CONTROL!$C$28, 0.0272, 0)</f>
        <v>42.411200000000001</v>
      </c>
      <c r="D590" s="4">
        <f>60.4908 * CHOOSE(CONTROL!$C$9, $C$13, 100%, $E$13) + CHOOSE(CONTROL!$C$28, 0.0021, 0)</f>
        <v>60.492899999999999</v>
      </c>
      <c r="E590" s="4">
        <f>287.63454544749 * CHOOSE(CONTROL!$C$9, $C$13, 100%, $E$13) + CHOOSE(CONTROL!$C$28, 0.0021, 0)</f>
        <v>287.63664544748997</v>
      </c>
    </row>
    <row r="591" spans="1:5" ht="15">
      <c r="A591" s="13">
        <v>59140</v>
      </c>
      <c r="B591" s="4">
        <f>41.8182 * CHOOSE(CONTROL!$C$9, $C$13, 100%, $E$13) + CHOOSE(CONTROL!$C$28, 0.0272, 0)</f>
        <v>41.845399999999998</v>
      </c>
      <c r="C591" s="4">
        <f>41.4549 * CHOOSE(CONTROL!$C$9, $C$13, 100%, $E$13) + CHOOSE(CONTROL!$C$28, 0.0272, 0)</f>
        <v>41.482100000000003</v>
      </c>
      <c r="D591" s="4">
        <f>60.2092 * CHOOSE(CONTROL!$C$9, $C$13, 100%, $E$13) + CHOOSE(CONTROL!$C$28, 0.0021, 0)</f>
        <v>60.211300000000001</v>
      </c>
      <c r="E591" s="4">
        <f>281.267718516766 * CHOOSE(CONTROL!$C$9, $C$13, 100%, $E$13) + CHOOSE(CONTROL!$C$28, 0.0021, 0)</f>
        <v>281.26981851676601</v>
      </c>
    </row>
    <row r="592" spans="1:5" ht="15">
      <c r="A592" s="13">
        <v>59171</v>
      </c>
      <c r="B592" s="4">
        <f>41.1754 * CHOOSE(CONTROL!$C$9, $C$13, 100%, $E$13) + CHOOSE(CONTROL!$C$28, 0.0272, 0)</f>
        <v>41.202600000000004</v>
      </c>
      <c r="C592" s="4">
        <f>40.8121 * CHOOSE(CONTROL!$C$9, $C$13, 100%, $E$13) + CHOOSE(CONTROL!$C$28, 0.0272, 0)</f>
        <v>40.839300000000001</v>
      </c>
      <c r="D592" s="4">
        <f>58.1355 * CHOOSE(CONTROL!$C$9, $C$13, 100%, $E$13) + CHOOSE(CONTROL!$C$28, 0.0021, 0)</f>
        <v>58.137599999999999</v>
      </c>
      <c r="E592" s="4">
        <f>276.862692700802 * CHOOSE(CONTROL!$C$9, $C$13, 100%, $E$13) + CHOOSE(CONTROL!$C$28, 0.0021, 0)</f>
        <v>276.86479270080196</v>
      </c>
    </row>
    <row r="593" spans="1:5" ht="15">
      <c r="A593" s="13">
        <v>59202</v>
      </c>
      <c r="B593" s="4">
        <f>39.4167 * CHOOSE(CONTROL!$C$9, $C$13, 100%, $E$13) + CHOOSE(CONTROL!$C$28, 0.0272, 0)</f>
        <v>39.443899999999999</v>
      </c>
      <c r="C593" s="4">
        <f>39.0534 * CHOOSE(CONTROL!$C$9, $C$13, 100%, $E$13) + CHOOSE(CONTROL!$C$28, 0.0272, 0)</f>
        <v>39.080600000000004</v>
      </c>
      <c r="D593" s="4">
        <f>55.8512 * CHOOSE(CONTROL!$C$9, $C$13, 100%, $E$13) + CHOOSE(CONTROL!$C$28, 0.0021, 0)</f>
        <v>55.853299999999997</v>
      </c>
      <c r="E593" s="4">
        <f>265.330236543146 * CHOOSE(CONTROL!$C$9, $C$13, 100%, $E$13) + CHOOSE(CONTROL!$C$28, 0.0021, 0)</f>
        <v>265.33233654314597</v>
      </c>
    </row>
    <row r="594" spans="1:5" ht="15">
      <c r="A594" s="13">
        <v>59230</v>
      </c>
      <c r="B594" s="4">
        <f>40.3342 * CHOOSE(CONTROL!$C$9, $C$13, 100%, $E$13) + CHOOSE(CONTROL!$C$28, 0.0272, 0)</f>
        <v>40.361400000000003</v>
      </c>
      <c r="C594" s="4">
        <f>39.9709 * CHOOSE(CONTROL!$C$9, $C$13, 100%, $E$13) + CHOOSE(CONTROL!$C$28, 0.0272, 0)</f>
        <v>39.998100000000001</v>
      </c>
      <c r="D594" s="4">
        <f>57.7571 * CHOOSE(CONTROL!$C$9, $C$13, 100%, $E$13) + CHOOSE(CONTROL!$C$28, 0.0021, 0)</f>
        <v>57.7592</v>
      </c>
      <c r="E594" s="4">
        <f>271.630222001115 * CHOOSE(CONTROL!$C$9, $C$13, 100%, $E$13) + CHOOSE(CONTROL!$C$28, 0.0021, 0)</f>
        <v>271.63232200111497</v>
      </c>
    </row>
    <row r="595" spans="1:5" ht="15">
      <c r="A595" s="13">
        <v>59261</v>
      </c>
      <c r="B595" s="4">
        <f>42.7437 * CHOOSE(CONTROL!$C$9, $C$13, 100%, $E$13) + CHOOSE(CONTROL!$C$28, 0.0272, 0)</f>
        <v>42.770899999999997</v>
      </c>
      <c r="C595" s="4">
        <f>42.3804 * CHOOSE(CONTROL!$C$9, $C$13, 100%, $E$13) + CHOOSE(CONTROL!$C$28, 0.0272, 0)</f>
        <v>42.407600000000002</v>
      </c>
      <c r="D595" s="4">
        <f>60.7406 * CHOOSE(CONTROL!$C$9, $C$13, 100%, $E$13) + CHOOSE(CONTROL!$C$28, 0.0021, 0)</f>
        <v>60.742699999999999</v>
      </c>
      <c r="E595" s="4">
        <f>288.1743186153 * CHOOSE(CONTROL!$C$9, $C$13, 100%, $E$13) + CHOOSE(CONTROL!$C$28, 0.0021, 0)</f>
        <v>288.17641861530001</v>
      </c>
    </row>
    <row r="596" spans="1:5" ht="15">
      <c r="A596" s="13">
        <v>59291</v>
      </c>
      <c r="B596" s="4">
        <f>44.4557 * CHOOSE(CONTROL!$C$9, $C$13, 100%, $E$13) + CHOOSE(CONTROL!$C$28, 0.0272, 0)</f>
        <v>44.482900000000001</v>
      </c>
      <c r="C596" s="4">
        <f>44.0924 * CHOOSE(CONTROL!$C$9, $C$13, 100%, $E$13) + CHOOSE(CONTROL!$C$28, 0.0272, 0)</f>
        <v>44.119599999999998</v>
      </c>
      <c r="D596" s="4">
        <f>62.4591 * CHOOSE(CONTROL!$C$9, $C$13, 100%, $E$13) + CHOOSE(CONTROL!$C$28, 0.0021, 0)</f>
        <v>62.461199999999998</v>
      </c>
      <c r="E596" s="4">
        <f>299.929119738755 * CHOOSE(CONTROL!$C$9, $C$13, 100%, $E$13) + CHOOSE(CONTROL!$C$28, 0.0021, 0)</f>
        <v>299.93121973875498</v>
      </c>
    </row>
    <row r="597" spans="1:5" ht="15">
      <c r="A597" s="13">
        <v>59322</v>
      </c>
      <c r="B597" s="4">
        <f>45.5017 * CHOOSE(CONTROL!$C$9, $C$13, 100%, $E$13) + CHOOSE(CONTROL!$C$28, 0.0272, 0)</f>
        <v>45.5289</v>
      </c>
      <c r="C597" s="4">
        <f>45.1384 * CHOOSE(CONTROL!$C$9, $C$13, 100%, $E$13) + CHOOSE(CONTROL!$C$28, 0.0272, 0)</f>
        <v>45.165599999999998</v>
      </c>
      <c r="D597" s="4">
        <f>61.78 * CHOOSE(CONTROL!$C$9, $C$13, 100%, $E$13) + CHOOSE(CONTROL!$C$28, 0.0021, 0)</f>
        <v>61.7821</v>
      </c>
      <c r="E597" s="4">
        <f>307.111021501921 * CHOOSE(CONTROL!$C$9, $C$13, 100%, $E$13) + CHOOSE(CONTROL!$C$28, 0.0021, 0)</f>
        <v>307.113121501921</v>
      </c>
    </row>
    <row r="598" spans="1:5" ht="15">
      <c r="A598" s="13">
        <v>59352</v>
      </c>
      <c r="B598" s="4">
        <f>45.6432 * CHOOSE(CONTROL!$C$9, $C$13, 100%, $E$13) + CHOOSE(CONTROL!$C$28, 0.0272, 0)</f>
        <v>45.670400000000001</v>
      </c>
      <c r="C598" s="4">
        <f>45.2799 * CHOOSE(CONTROL!$C$9, $C$13, 100%, $E$13) + CHOOSE(CONTROL!$C$28, 0.0272, 0)</f>
        <v>45.307099999999998</v>
      </c>
      <c r="D598" s="4">
        <f>62.3331 * CHOOSE(CONTROL!$C$9, $C$13, 100%, $E$13) + CHOOSE(CONTROL!$C$28, 0.0021, 0)</f>
        <v>62.3352</v>
      </c>
      <c r="E598" s="4">
        <f>308.082762615983 * CHOOSE(CONTROL!$C$9, $C$13, 100%, $E$13) + CHOOSE(CONTROL!$C$28, 0.0021, 0)</f>
        <v>308.08486261598296</v>
      </c>
    </row>
    <row r="599" spans="1:5" ht="15">
      <c r="A599" s="13">
        <v>59383</v>
      </c>
      <c r="B599" s="4">
        <f>45.6289 * CHOOSE(CONTROL!$C$9, $C$13, 100%, $E$13) + CHOOSE(CONTROL!$C$28, 0.0272, 0)</f>
        <v>45.656100000000002</v>
      </c>
      <c r="C599" s="4">
        <f>45.2657 * CHOOSE(CONTROL!$C$9, $C$13, 100%, $E$13) + CHOOSE(CONTROL!$C$28, 0.0272, 0)</f>
        <v>45.292900000000003</v>
      </c>
      <c r="D599" s="4">
        <f>63.3311 * CHOOSE(CONTROL!$C$9, $C$13, 100%, $E$13) + CHOOSE(CONTROL!$C$28, 0.0021, 0)</f>
        <v>63.333199999999998</v>
      </c>
      <c r="E599" s="4">
        <f>307.984771915405 * CHOOSE(CONTROL!$C$9, $C$13, 100%, $E$13) + CHOOSE(CONTROL!$C$28, 0.0021, 0)</f>
        <v>307.986871915405</v>
      </c>
    </row>
    <row r="600" spans="1:5" ht="15">
      <c r="A600" s="13">
        <v>59414</v>
      </c>
      <c r="B600" s="4">
        <f>46.7029 * CHOOSE(CONTROL!$C$9, $C$13, 100%, $E$13) + CHOOSE(CONTROL!$C$28, 0.0272, 0)</f>
        <v>46.7301</v>
      </c>
      <c r="C600" s="4">
        <f>46.3396 * CHOOSE(CONTROL!$C$9, $C$13, 100%, $E$13) + CHOOSE(CONTROL!$C$28, 0.0272, 0)</f>
        <v>46.366799999999998</v>
      </c>
      <c r="D600" s="4">
        <f>62.672 * CHOOSE(CONTROL!$C$9, $C$13, 100%, $E$13) + CHOOSE(CONTROL!$C$28, 0.0021, 0)</f>
        <v>62.674099999999996</v>
      </c>
      <c r="E600" s="4">
        <f>315.35857213387 * CHOOSE(CONTROL!$C$9, $C$13, 100%, $E$13) + CHOOSE(CONTROL!$C$28, 0.0021, 0)</f>
        <v>315.36067213386997</v>
      </c>
    </row>
    <row r="601" spans="1:5" ht="15">
      <c r="A601" s="13">
        <v>59444</v>
      </c>
      <c r="B601" s="4">
        <f>44.8726 * CHOOSE(CONTROL!$C$9, $C$13, 100%, $E$13) + CHOOSE(CONTROL!$C$28, 0.0272, 0)</f>
        <v>44.899799999999999</v>
      </c>
      <c r="C601" s="4">
        <f>44.5093 * CHOOSE(CONTROL!$C$9, $C$13, 100%, $E$13) + CHOOSE(CONTROL!$C$28, 0.0272, 0)</f>
        <v>44.536500000000004</v>
      </c>
      <c r="D601" s="4">
        <f>62.3606 * CHOOSE(CONTROL!$C$9, $C$13, 100%, $E$13) + CHOOSE(CONTROL!$C$28, 0.0021, 0)</f>
        <v>62.362699999999997</v>
      </c>
      <c r="E601" s="4">
        <f>302.791264784792 * CHOOSE(CONTROL!$C$9, $C$13, 100%, $E$13) + CHOOSE(CONTROL!$C$28, 0.0021, 0)</f>
        <v>302.793364784792</v>
      </c>
    </row>
    <row r="602" spans="1:5" ht="15">
      <c r="A602" s="13">
        <v>59475</v>
      </c>
      <c r="B602" s="4">
        <f>43.4073 * CHOOSE(CONTROL!$C$9, $C$13, 100%, $E$13) + CHOOSE(CONTROL!$C$28, 0.0272, 0)</f>
        <v>43.4345</v>
      </c>
      <c r="C602" s="4">
        <f>43.0441 * CHOOSE(CONTROL!$C$9, $C$13, 100%, $E$13) + CHOOSE(CONTROL!$C$28, 0.0272, 0)</f>
        <v>43.071300000000001</v>
      </c>
      <c r="D602" s="4">
        <f>61.5269 * CHOOSE(CONTROL!$C$9, $C$13, 100%, $E$13) + CHOOSE(CONTROL!$C$28, 0.0021, 0)</f>
        <v>61.528999999999996</v>
      </c>
      <c r="E602" s="4">
        <f>292.730886192158 * CHOOSE(CONTROL!$C$9, $C$13, 100%, $E$13) + CHOOSE(CONTROL!$C$28, 0.0021, 0)</f>
        <v>292.73298619215797</v>
      </c>
    </row>
    <row r="603" spans="1:5" ht="15">
      <c r="A603" s="13">
        <v>59505</v>
      </c>
      <c r="B603" s="4">
        <f>42.4636 * CHOOSE(CONTROL!$C$9, $C$13, 100%, $E$13) + CHOOSE(CONTROL!$C$28, 0.0272, 0)</f>
        <v>42.4908</v>
      </c>
      <c r="C603" s="4">
        <f>42.1003 * CHOOSE(CONTROL!$C$9, $C$13, 100%, $E$13) + CHOOSE(CONTROL!$C$28, 0.0272, 0)</f>
        <v>42.127499999999998</v>
      </c>
      <c r="D603" s="4">
        <f>61.2402 * CHOOSE(CONTROL!$C$9, $C$13, 100%, $E$13) + CHOOSE(CONTROL!$C$28, 0.0021, 0)</f>
        <v>61.2423</v>
      </c>
      <c r="E603" s="4">
        <f>286.251251116464 * CHOOSE(CONTROL!$C$9, $C$13, 100%, $E$13) + CHOOSE(CONTROL!$C$28, 0.0021, 0)</f>
        <v>286.25335111646399</v>
      </c>
    </row>
    <row r="604" spans="1:5" ht="15">
      <c r="A604" s="13">
        <v>59536</v>
      </c>
      <c r="B604" s="4">
        <f>41.8107 * CHOOSE(CONTROL!$C$9, $C$13, 100%, $E$13) + CHOOSE(CONTROL!$C$28, 0.0272, 0)</f>
        <v>41.837899999999998</v>
      </c>
      <c r="C604" s="4">
        <f>41.4474 * CHOOSE(CONTROL!$C$9, $C$13, 100%, $E$13) + CHOOSE(CONTROL!$C$28, 0.0272, 0)</f>
        <v>41.474600000000002</v>
      </c>
      <c r="D604" s="4">
        <f>59.13 * CHOOSE(CONTROL!$C$9, $C$13, 100%, $E$13) + CHOOSE(CONTROL!$C$28, 0.0021, 0)</f>
        <v>59.132100000000001</v>
      </c>
      <c r="E604" s="4">
        <f>281.768176565039 * CHOOSE(CONTROL!$C$9, $C$13, 100%, $E$13) + CHOOSE(CONTROL!$C$28, 0.0021, 0)</f>
        <v>281.77027656503901</v>
      </c>
    </row>
    <row r="605" spans="1:5" ht="15">
      <c r="A605" s="13">
        <v>59567</v>
      </c>
      <c r="B605" s="4">
        <f>40.0243 * CHOOSE(CONTROL!$C$9, $C$13, 100%, $E$13) + CHOOSE(CONTROL!$C$28, 0.0272, 0)</f>
        <v>40.051499999999997</v>
      </c>
      <c r="C605" s="4">
        <f>39.661 * CHOOSE(CONTROL!$C$9, $C$13, 100%, $E$13) + CHOOSE(CONTROL!$C$28, 0.0272, 0)</f>
        <v>39.688200000000002</v>
      </c>
      <c r="D605" s="4">
        <f>56.8053 * CHOOSE(CONTROL!$C$9, $C$13, 100%, $E$13) + CHOOSE(CONTROL!$C$28, 0.0021, 0)</f>
        <v>56.807400000000001</v>
      </c>
      <c r="E605" s="4">
        <f>270.031387071445 * CHOOSE(CONTROL!$C$9, $C$13, 100%, $E$13) + CHOOSE(CONTROL!$C$28, 0.0021, 0)</f>
        <v>270.03348707144499</v>
      </c>
    </row>
    <row r="606" spans="1:5" ht="15">
      <c r="A606" s="13">
        <v>59595</v>
      </c>
      <c r="B606" s="4">
        <f>40.9563 * CHOOSE(CONTROL!$C$9, $C$13, 100%, $E$13) + CHOOSE(CONTROL!$C$28, 0.0272, 0)</f>
        <v>40.983499999999999</v>
      </c>
      <c r="C606" s="4">
        <f>40.593 * CHOOSE(CONTROL!$C$9, $C$13, 100%, $E$13) + CHOOSE(CONTROL!$C$28, 0.0272, 0)</f>
        <v>40.620200000000004</v>
      </c>
      <c r="D606" s="4">
        <f>58.7448 * CHOOSE(CONTROL!$C$9, $C$13, 100%, $E$13) + CHOOSE(CONTROL!$C$28, 0.0021, 0)</f>
        <v>58.746899999999997</v>
      </c>
      <c r="E606" s="4">
        <f>276.442996369763 * CHOOSE(CONTROL!$C$9, $C$13, 100%, $E$13) + CHOOSE(CONTROL!$C$28, 0.0021, 0)</f>
        <v>276.44509636976301</v>
      </c>
    </row>
    <row r="607" spans="1:5" ht="15">
      <c r="A607" s="13">
        <v>59626</v>
      </c>
      <c r="B607" s="4">
        <f>43.4037 * CHOOSE(CONTROL!$C$9, $C$13, 100%, $E$13) + CHOOSE(CONTROL!$C$28, 0.0272, 0)</f>
        <v>43.430900000000001</v>
      </c>
      <c r="C607" s="4">
        <f>43.0404 * CHOOSE(CONTROL!$C$9, $C$13, 100%, $E$13) + CHOOSE(CONTROL!$C$28, 0.0272, 0)</f>
        <v>43.067599999999999</v>
      </c>
      <c r="D607" s="4">
        <f>61.781 * CHOOSE(CONTROL!$C$9, $C$13, 100%, $E$13) + CHOOSE(CONTROL!$C$28, 0.0021, 0)</f>
        <v>61.783099999999997</v>
      </c>
      <c r="E607" s="4">
        <f>293.28022312076 * CHOOSE(CONTROL!$C$9, $C$13, 100%, $E$13) + CHOOSE(CONTROL!$C$28, 0.0021, 0)</f>
        <v>293.28232312076</v>
      </c>
    </row>
    <row r="608" spans="1:5" ht="15">
      <c r="A608" s="13">
        <v>59656</v>
      </c>
      <c r="B608" s="4">
        <f>45.1426 * CHOOSE(CONTROL!$C$9, $C$13, 100%, $E$13) + CHOOSE(CONTROL!$C$28, 0.0272, 0)</f>
        <v>45.169800000000002</v>
      </c>
      <c r="C608" s="4">
        <f>44.7793 * CHOOSE(CONTROL!$C$9, $C$13, 100%, $E$13) + CHOOSE(CONTROL!$C$28, 0.0272, 0)</f>
        <v>44.8065</v>
      </c>
      <c r="D608" s="4">
        <f>63.53 * CHOOSE(CONTROL!$C$9, $C$13, 100%, $E$13) + CHOOSE(CONTROL!$C$28, 0.0021, 0)</f>
        <v>63.5321</v>
      </c>
      <c r="E608" s="4">
        <f>305.243297112892 * CHOOSE(CONTROL!$C$9, $C$13, 100%, $E$13) + CHOOSE(CONTROL!$C$28, 0.0021, 0)</f>
        <v>305.24539711289196</v>
      </c>
    </row>
    <row r="609" spans="1:5" ht="15">
      <c r="A609" s="13">
        <v>59687</v>
      </c>
      <c r="B609" s="4">
        <f>46.205 * CHOOSE(CONTROL!$C$9, $C$13, 100%, $E$13) + CHOOSE(CONTROL!$C$28, 0.0272, 0)</f>
        <v>46.232199999999999</v>
      </c>
      <c r="C609" s="4">
        <f>45.8418 * CHOOSE(CONTROL!$C$9, $C$13, 100%, $E$13) + CHOOSE(CONTROL!$C$28, 0.0272, 0)</f>
        <v>45.869</v>
      </c>
      <c r="D609" s="4">
        <f>62.8389 * CHOOSE(CONTROL!$C$9, $C$13, 100%, $E$13) + CHOOSE(CONTROL!$C$28, 0.0021, 0)</f>
        <v>62.841000000000001</v>
      </c>
      <c r="E609" s="4">
        <f>312.552448607216 * CHOOSE(CONTROL!$C$9, $C$13, 100%, $E$13) + CHOOSE(CONTROL!$C$28, 0.0021, 0)</f>
        <v>312.55454860721596</v>
      </c>
    </row>
    <row r="610" spans="1:5" ht="15">
      <c r="A610" s="13">
        <v>59717</v>
      </c>
      <c r="B610" s="4">
        <f>46.3488 * CHOOSE(CONTROL!$C$9, $C$13, 100%, $E$13) + CHOOSE(CONTROL!$C$28, 0.0272, 0)</f>
        <v>46.375999999999998</v>
      </c>
      <c r="C610" s="4">
        <f>45.9855 * CHOOSE(CONTROL!$C$9, $C$13, 100%, $E$13) + CHOOSE(CONTROL!$C$28, 0.0272, 0)</f>
        <v>46.012700000000002</v>
      </c>
      <c r="D610" s="4">
        <f>63.4017 * CHOOSE(CONTROL!$C$9, $C$13, 100%, $E$13) + CHOOSE(CONTROL!$C$28, 0.0021, 0)</f>
        <v>63.403799999999997</v>
      </c>
      <c r="E610" s="4">
        <f>313.541407138 * CHOOSE(CONTROL!$C$9, $C$13, 100%, $E$13) + CHOOSE(CONTROL!$C$28, 0.0021, 0)</f>
        <v>313.543507138</v>
      </c>
    </row>
    <row r="611" spans="1:5" ht="15">
      <c r="A611" s="13">
        <v>59748</v>
      </c>
      <c r="B611" s="4">
        <f>46.3343 * CHOOSE(CONTROL!$C$9, $C$13, 100%, $E$13) + CHOOSE(CONTROL!$C$28, 0.0272, 0)</f>
        <v>46.361499999999999</v>
      </c>
      <c r="C611" s="4">
        <f>45.971 * CHOOSE(CONTROL!$C$9, $C$13, 100%, $E$13) + CHOOSE(CONTROL!$C$28, 0.0272, 0)</f>
        <v>45.998199999999997</v>
      </c>
      <c r="D611" s="4">
        <f>64.4173 * CHOOSE(CONTROL!$C$9, $C$13, 100%, $E$13) + CHOOSE(CONTROL!$C$28, 0.0021, 0)</f>
        <v>64.419399999999996</v>
      </c>
      <c r="E611" s="4">
        <f>313.441680227333 * CHOOSE(CONTROL!$C$9, $C$13, 100%, $E$13) + CHOOSE(CONTROL!$C$28, 0.0021, 0)</f>
        <v>313.44378022733298</v>
      </c>
    </row>
    <row r="612" spans="1:5" ht="15">
      <c r="A612" s="13">
        <v>59779</v>
      </c>
      <c r="B612" s="4">
        <f>47.4251 * CHOOSE(CONTROL!$C$9, $C$13, 100%, $E$13) + CHOOSE(CONTROL!$C$28, 0.0272, 0)</f>
        <v>47.452300000000001</v>
      </c>
      <c r="C612" s="4">
        <f>47.0618 * CHOOSE(CONTROL!$C$9, $C$13, 100%, $E$13) + CHOOSE(CONTROL!$C$28, 0.0272, 0)</f>
        <v>47.088999999999999</v>
      </c>
      <c r="D612" s="4">
        <f>63.7466 * CHOOSE(CONTROL!$C$9, $C$13, 100%, $E$13) + CHOOSE(CONTROL!$C$28, 0.0021, 0)</f>
        <v>63.748699999999999</v>
      </c>
      <c r="E612" s="4">
        <f>320.946130255047 * CHOOSE(CONTROL!$C$9, $C$13, 100%, $E$13) + CHOOSE(CONTROL!$C$28, 0.0021, 0)</f>
        <v>320.94823025504701</v>
      </c>
    </row>
    <row r="613" spans="1:5" ht="15">
      <c r="A613" s="13">
        <v>59809</v>
      </c>
      <c r="B613" s="4">
        <f>45.566 * CHOOSE(CONTROL!$C$9, $C$13, 100%, $E$13) + CHOOSE(CONTROL!$C$28, 0.0272, 0)</f>
        <v>45.593200000000003</v>
      </c>
      <c r="C613" s="4">
        <f>45.2027 * CHOOSE(CONTROL!$C$9, $C$13, 100%, $E$13) + CHOOSE(CONTROL!$C$28, 0.0272, 0)</f>
        <v>45.229900000000001</v>
      </c>
      <c r="D613" s="4">
        <f>63.4297 * CHOOSE(CONTROL!$C$9, $C$13, 100%, $E$13) + CHOOSE(CONTROL!$C$28, 0.0021, 0)</f>
        <v>63.431799999999996</v>
      </c>
      <c r="E613" s="4">
        <f>308.156153961966 * CHOOSE(CONTROL!$C$9, $C$13, 100%, $E$13) + CHOOSE(CONTROL!$C$28, 0.0021, 0)</f>
        <v>308.15825396196601</v>
      </c>
    </row>
    <row r="614" spans="1:5" ht="15">
      <c r="A614" s="13">
        <v>59840</v>
      </c>
      <c r="B614" s="4">
        <f>44.0778 * CHOOSE(CONTROL!$C$9, $C$13, 100%, $E$13) + CHOOSE(CONTROL!$C$28, 0.0272, 0)</f>
        <v>44.105000000000004</v>
      </c>
      <c r="C614" s="4">
        <f>43.7145 * CHOOSE(CONTROL!$C$9, $C$13, 100%, $E$13) + CHOOSE(CONTROL!$C$28, 0.0272, 0)</f>
        <v>43.741700000000002</v>
      </c>
      <c r="D614" s="4">
        <f>62.5812 * CHOOSE(CONTROL!$C$9, $C$13, 100%, $E$13) + CHOOSE(CONTROL!$C$28, 0.0021, 0)</f>
        <v>62.583300000000001</v>
      </c>
      <c r="E614" s="4">
        <f>297.917524466789 * CHOOSE(CONTROL!$C$9, $C$13, 100%, $E$13) + CHOOSE(CONTROL!$C$28, 0.0021, 0)</f>
        <v>297.919624466789</v>
      </c>
    </row>
    <row r="615" spans="1:5" ht="15">
      <c r="A615" s="13">
        <v>59870</v>
      </c>
      <c r="B615" s="4">
        <f>43.1192 * CHOOSE(CONTROL!$C$9, $C$13, 100%, $E$13) + CHOOSE(CONTROL!$C$28, 0.0272, 0)</f>
        <v>43.1464</v>
      </c>
      <c r="C615" s="4">
        <f>42.7559 * CHOOSE(CONTROL!$C$9, $C$13, 100%, $E$13) + CHOOSE(CONTROL!$C$28, 0.0272, 0)</f>
        <v>42.783099999999997</v>
      </c>
      <c r="D615" s="4">
        <f>62.2895 * CHOOSE(CONTROL!$C$9, $C$13, 100%, $E$13) + CHOOSE(CONTROL!$C$28, 0.0021, 0)</f>
        <v>62.291599999999995</v>
      </c>
      <c r="E615" s="4">
        <f>291.323082498914 * CHOOSE(CONTROL!$C$9, $C$13, 100%, $E$13) + CHOOSE(CONTROL!$C$28, 0.0021, 0)</f>
        <v>291.32518249891399</v>
      </c>
    </row>
    <row r="616" spans="1:5" ht="15">
      <c r="A616" s="13">
        <v>59901</v>
      </c>
      <c r="B616" s="4">
        <f>42.456 * CHOOSE(CONTROL!$C$9, $C$13, 100%, $E$13) + CHOOSE(CONTROL!$C$28, 0.0272, 0)</f>
        <v>42.483200000000004</v>
      </c>
      <c r="C616" s="4">
        <f>42.0927 * CHOOSE(CONTROL!$C$9, $C$13, 100%, $E$13) + CHOOSE(CONTROL!$C$28, 0.0272, 0)</f>
        <v>42.119900000000001</v>
      </c>
      <c r="D616" s="4">
        <f>60.142 * CHOOSE(CONTROL!$C$9, $C$13, 100%, $E$13) + CHOOSE(CONTROL!$C$28, 0.0021, 0)</f>
        <v>60.144100000000002</v>
      </c>
      <c r="E616" s="4">
        <f>286.760576335885 * CHOOSE(CONTROL!$C$9, $C$13, 100%, $E$13) + CHOOSE(CONTROL!$C$28, 0.0021, 0)</f>
        <v>286.76267633588498</v>
      </c>
    </row>
    <row r="617" spans="1:5" ht="15">
      <c r="A617" s="13">
        <v>59932</v>
      </c>
      <c r="B617" s="4">
        <f>40.6415 * CHOOSE(CONTROL!$C$9, $C$13, 100%, $E$13) + CHOOSE(CONTROL!$C$28, 0.0272, 0)</f>
        <v>40.668700000000001</v>
      </c>
      <c r="C617" s="4">
        <f>40.2783 * CHOOSE(CONTROL!$C$9, $C$13, 100%, $E$13) + CHOOSE(CONTROL!$C$28, 0.0272, 0)</f>
        <v>40.305500000000002</v>
      </c>
      <c r="D617" s="4">
        <f>57.7763 * CHOOSE(CONTROL!$C$9, $C$13, 100%, $E$13) + CHOOSE(CONTROL!$C$28, 0.0021, 0)</f>
        <v>57.778399999999998</v>
      </c>
      <c r="E617" s="4">
        <f>274.815833105667 * CHOOSE(CONTROL!$C$9, $C$13, 100%, $E$13) + CHOOSE(CONTROL!$C$28, 0.0021, 0)</f>
        <v>274.81793310566701</v>
      </c>
    </row>
    <row r="618" spans="1:5" ht="15">
      <c r="A618" s="13">
        <v>59961</v>
      </c>
      <c r="B618" s="4">
        <f>41.5882 * CHOOSE(CONTROL!$C$9, $C$13, 100%, $E$13) + CHOOSE(CONTROL!$C$28, 0.0272, 0)</f>
        <v>41.615400000000001</v>
      </c>
      <c r="C618" s="4">
        <f>41.2249 * CHOOSE(CONTROL!$C$9, $C$13, 100%, $E$13) + CHOOSE(CONTROL!$C$28, 0.0272, 0)</f>
        <v>41.252099999999999</v>
      </c>
      <c r="D618" s="4">
        <f>59.75 * CHOOSE(CONTROL!$C$9, $C$13, 100%, $E$13) + CHOOSE(CONTROL!$C$28, 0.0021, 0)</f>
        <v>59.752099999999999</v>
      </c>
      <c r="E618" s="4">
        <f>281.341044007907 * CHOOSE(CONTROL!$C$9, $C$13, 100%, $E$13) + CHOOSE(CONTROL!$C$28, 0.0021, 0)</f>
        <v>281.34314400790697</v>
      </c>
    </row>
    <row r="619" spans="1:5" ht="15">
      <c r="A619" s="13">
        <v>59992</v>
      </c>
      <c r="B619" s="4">
        <f>44.074 * CHOOSE(CONTROL!$C$9, $C$13, 100%, $E$13) + CHOOSE(CONTROL!$C$28, 0.0272, 0)</f>
        <v>44.101199999999999</v>
      </c>
      <c r="C619" s="4">
        <f>43.7108 * CHOOSE(CONTROL!$C$9, $C$13, 100%, $E$13) + CHOOSE(CONTROL!$C$28, 0.0272, 0)</f>
        <v>43.738</v>
      </c>
      <c r="D619" s="4">
        <f>62.8399 * CHOOSE(CONTROL!$C$9, $C$13, 100%, $E$13) + CHOOSE(CONTROL!$C$28, 0.0021, 0)</f>
        <v>62.841999999999999</v>
      </c>
      <c r="E619" s="4">
        <f>298.476594607955 * CHOOSE(CONTROL!$C$9, $C$13, 100%, $E$13) + CHOOSE(CONTROL!$C$28, 0.0021, 0)</f>
        <v>298.47869460795499</v>
      </c>
    </row>
    <row r="620" spans="1:5" ht="15">
      <c r="A620" s="13">
        <v>60022</v>
      </c>
      <c r="B620" s="4">
        <f>45.8403 * CHOOSE(CONTROL!$C$9, $C$13, 100%, $E$13) + CHOOSE(CONTROL!$C$28, 0.0272, 0)</f>
        <v>45.8675</v>
      </c>
      <c r="C620" s="4">
        <f>45.477 * CHOOSE(CONTROL!$C$9, $C$13, 100%, $E$13) + CHOOSE(CONTROL!$C$28, 0.0272, 0)</f>
        <v>45.504199999999997</v>
      </c>
      <c r="D620" s="4">
        <f>64.6197 * CHOOSE(CONTROL!$C$9, $C$13, 100%, $E$13) + CHOOSE(CONTROL!$C$28, 0.0021, 0)</f>
        <v>64.621799999999993</v>
      </c>
      <c r="E620" s="4">
        <f>310.651631670527 * CHOOSE(CONTROL!$C$9, $C$13, 100%, $E$13) + CHOOSE(CONTROL!$C$28, 0.0021, 0)</f>
        <v>310.65373167052701</v>
      </c>
    </row>
    <row r="621" spans="1:5" ht="15">
      <c r="A621" s="13">
        <v>60053</v>
      </c>
      <c r="B621" s="4">
        <f>46.9194 * CHOOSE(CONTROL!$C$9, $C$13, 100%, $E$13) + CHOOSE(CONTROL!$C$28, 0.0272, 0)</f>
        <v>46.946600000000004</v>
      </c>
      <c r="C621" s="4">
        <f>46.5562 * CHOOSE(CONTROL!$C$9, $C$13, 100%, $E$13) + CHOOSE(CONTROL!$C$28, 0.0272, 0)</f>
        <v>46.583399999999997</v>
      </c>
      <c r="D621" s="4">
        <f>63.9164 * CHOOSE(CONTROL!$C$9, $C$13, 100%, $E$13) + CHOOSE(CONTROL!$C$28, 0.0021, 0)</f>
        <v>63.918500000000002</v>
      </c>
      <c r="E621" s="4">
        <f>318.090287520844 * CHOOSE(CONTROL!$C$9, $C$13, 100%, $E$13) + CHOOSE(CONTROL!$C$28, 0.0021, 0)</f>
        <v>318.092387520844</v>
      </c>
    </row>
    <row r="622" spans="1:5" ht="15">
      <c r="A622" s="13">
        <v>60083</v>
      </c>
      <c r="B622" s="4">
        <f>47.0655 * CHOOSE(CONTROL!$C$9, $C$13, 100%, $E$13) + CHOOSE(CONTROL!$C$28, 0.0272, 0)</f>
        <v>47.092700000000001</v>
      </c>
      <c r="C622" s="4">
        <f>46.7022 * CHOOSE(CONTROL!$C$9, $C$13, 100%, $E$13) + CHOOSE(CONTROL!$C$28, 0.0272, 0)</f>
        <v>46.729399999999998</v>
      </c>
      <c r="D622" s="4">
        <f>64.4892 * CHOOSE(CONTROL!$C$9, $C$13, 100%, $E$13) + CHOOSE(CONTROL!$C$28, 0.0021, 0)</f>
        <v>64.491299999999995</v>
      </c>
      <c r="E622" s="4">
        <f>319.096768528448 * CHOOSE(CONTROL!$C$9, $C$13, 100%, $E$13) + CHOOSE(CONTROL!$C$28, 0.0021, 0)</f>
        <v>319.09886852844801</v>
      </c>
    </row>
    <row r="623" spans="1:5" ht="15">
      <c r="A623" s="13">
        <v>60114</v>
      </c>
      <c r="B623" s="4">
        <f>47.0507 * CHOOSE(CONTROL!$C$9, $C$13, 100%, $E$13) + CHOOSE(CONTROL!$C$28, 0.0272, 0)</f>
        <v>47.0779</v>
      </c>
      <c r="C623" s="4">
        <f>46.6875 * CHOOSE(CONTROL!$C$9, $C$13, 100%, $E$13) + CHOOSE(CONTROL!$C$28, 0.0272, 0)</f>
        <v>46.714700000000001</v>
      </c>
      <c r="D623" s="4">
        <f>65.5227 * CHOOSE(CONTROL!$C$9, $C$13, 100%, $E$13) + CHOOSE(CONTROL!$C$28, 0.0021, 0)</f>
        <v>65.524799999999999</v>
      </c>
      <c r="E623" s="4">
        <f>318.995274645329 * CHOOSE(CONTROL!$C$9, $C$13, 100%, $E$13) + CHOOSE(CONTROL!$C$28, 0.0021, 0)</f>
        <v>318.99737464532899</v>
      </c>
    </row>
    <row r="624" spans="1:5" ht="15">
      <c r="A624" s="13">
        <v>60145</v>
      </c>
      <c r="B624" s="4">
        <f>48.1587 * CHOOSE(CONTROL!$C$9, $C$13, 100%, $E$13) + CHOOSE(CONTROL!$C$28, 0.0272, 0)</f>
        <v>48.185900000000004</v>
      </c>
      <c r="C624" s="4">
        <f>47.7954 * CHOOSE(CONTROL!$C$9, $C$13, 100%, $E$13) + CHOOSE(CONTROL!$C$28, 0.0272, 0)</f>
        <v>47.822600000000001</v>
      </c>
      <c r="D624" s="4">
        <f>64.8402 * CHOOSE(CONTROL!$C$9, $C$13, 100%, $E$13) + CHOOSE(CONTROL!$C$28, 0.0021, 0)</f>
        <v>64.842299999999994</v>
      </c>
      <c r="E624" s="4">
        <f>326.632689350089 * CHOOSE(CONTROL!$C$9, $C$13, 100%, $E$13) + CHOOSE(CONTROL!$C$28, 0.0021, 0)</f>
        <v>326.63478935008897</v>
      </c>
    </row>
    <row r="625" spans="1:5" ht="15">
      <c r="A625" s="13">
        <v>60175</v>
      </c>
      <c r="B625" s="4">
        <f>46.2704 * CHOOSE(CONTROL!$C$9, $C$13, 100%, $E$13) + CHOOSE(CONTROL!$C$28, 0.0272, 0)</f>
        <v>46.297600000000003</v>
      </c>
      <c r="C625" s="4">
        <f>45.9071 * CHOOSE(CONTROL!$C$9, $C$13, 100%, $E$13) + CHOOSE(CONTROL!$C$28, 0.0272, 0)</f>
        <v>45.9343</v>
      </c>
      <c r="D625" s="4">
        <f>64.5177 * CHOOSE(CONTROL!$C$9, $C$13, 100%, $E$13) + CHOOSE(CONTROL!$C$28, 0.0021, 0)</f>
        <v>64.519800000000004</v>
      </c>
      <c r="E625" s="4">
        <f>313.616098839983 * CHOOSE(CONTROL!$C$9, $C$13, 100%, $E$13) + CHOOSE(CONTROL!$C$28, 0.0021, 0)</f>
        <v>313.61819883998299</v>
      </c>
    </row>
    <row r="626" spans="1:5" ht="15">
      <c r="A626" s="13">
        <v>60206</v>
      </c>
      <c r="B626" s="4">
        <f>44.7587 * CHOOSE(CONTROL!$C$9, $C$13, 100%, $E$13) + CHOOSE(CONTROL!$C$28, 0.0272, 0)</f>
        <v>44.785899999999998</v>
      </c>
      <c r="C626" s="4">
        <f>44.3954 * CHOOSE(CONTROL!$C$9, $C$13, 100%, $E$13) + CHOOSE(CONTROL!$C$28, 0.0272, 0)</f>
        <v>44.422600000000003</v>
      </c>
      <c r="D626" s="4">
        <f>63.6542 * CHOOSE(CONTROL!$C$9, $C$13, 100%, $E$13) + CHOOSE(CONTROL!$C$28, 0.0021, 0)</f>
        <v>63.656300000000002</v>
      </c>
      <c r="E626" s="4">
        <f>303.196060173023 * CHOOSE(CONTROL!$C$9, $C$13, 100%, $E$13) + CHOOSE(CONTROL!$C$28, 0.0021, 0)</f>
        <v>303.19816017302298</v>
      </c>
    </row>
    <row r="627" spans="1:5" ht="15">
      <c r="A627" s="13">
        <v>60236</v>
      </c>
      <c r="B627" s="4">
        <f>43.7851 * CHOOSE(CONTROL!$C$9, $C$13, 100%, $E$13) + CHOOSE(CONTROL!$C$28, 0.0272, 0)</f>
        <v>43.8123</v>
      </c>
      <c r="C627" s="4">
        <f>43.4218 * CHOOSE(CONTROL!$C$9, $C$13, 100%, $E$13) + CHOOSE(CONTROL!$C$28, 0.0272, 0)</f>
        <v>43.448999999999998</v>
      </c>
      <c r="D627" s="4">
        <f>63.3574 * CHOOSE(CONTROL!$C$9, $C$13, 100%, $E$13) + CHOOSE(CONTROL!$C$28, 0.0021, 0)</f>
        <v>63.359499999999997</v>
      </c>
      <c r="E627" s="4">
        <f>296.484777151731 * CHOOSE(CONTROL!$C$9, $C$13, 100%, $E$13) + CHOOSE(CONTROL!$C$28, 0.0021, 0)</f>
        <v>296.48687715173099</v>
      </c>
    </row>
    <row r="628" spans="1:5" ht="15">
      <c r="A628" s="13">
        <v>60267</v>
      </c>
      <c r="B628" s="4">
        <f>43.1115 * CHOOSE(CONTROL!$C$9, $C$13, 100%, $E$13) + CHOOSE(CONTROL!$C$28, 0.0272, 0)</f>
        <v>43.1387</v>
      </c>
      <c r="C628" s="4">
        <f>42.7482 * CHOOSE(CONTROL!$C$9, $C$13, 100%, $E$13) + CHOOSE(CONTROL!$C$28, 0.0272, 0)</f>
        <v>42.775399999999998</v>
      </c>
      <c r="D628" s="4">
        <f>61.1719 * CHOOSE(CONTROL!$C$9, $C$13, 100%, $E$13) + CHOOSE(CONTROL!$C$28, 0.0021, 0)</f>
        <v>61.173999999999999</v>
      </c>
      <c r="E628" s="4">
        <f>291.841431999003 * CHOOSE(CONTROL!$C$9, $C$13, 100%, $E$13) + CHOOSE(CONTROL!$C$28, 0.0021, 0)</f>
        <v>291.84353199900301</v>
      </c>
    </row>
    <row r="629" spans="1:5" ht="15">
      <c r="A629" s="13">
        <v>60298</v>
      </c>
      <c r="B629" s="4">
        <f>41.2685 * CHOOSE(CONTROL!$C$9, $C$13, 100%, $E$13) + CHOOSE(CONTROL!$C$28, 0.0272, 0)</f>
        <v>41.295700000000004</v>
      </c>
      <c r="C629" s="4">
        <f>40.9052 * CHOOSE(CONTROL!$C$9, $C$13, 100%, $E$13) + CHOOSE(CONTROL!$C$28, 0.0272, 0)</f>
        <v>40.932400000000001</v>
      </c>
      <c r="D629" s="4">
        <f>58.7643 * CHOOSE(CONTROL!$C$9, $C$13, 100%, $E$13) + CHOOSE(CONTROL!$C$28, 0.0021, 0)</f>
        <v>58.766399999999997</v>
      </c>
      <c r="E629" s="4">
        <f>279.685050484816 * CHOOSE(CONTROL!$C$9, $C$13, 100%, $E$13) + CHOOSE(CONTROL!$C$28, 0.0021, 0)</f>
        <v>279.68715048481596</v>
      </c>
    </row>
    <row r="630" spans="1:5" ht="15">
      <c r="A630" s="13">
        <v>60326</v>
      </c>
      <c r="B630" s="4">
        <f>42.23 * CHOOSE(CONTROL!$C$9, $C$13, 100%, $E$13) + CHOOSE(CONTROL!$C$28, 0.0272, 0)</f>
        <v>42.257199999999997</v>
      </c>
      <c r="C630" s="4">
        <f>41.8667 * CHOOSE(CONTROL!$C$9, $C$13, 100%, $E$13) + CHOOSE(CONTROL!$C$28, 0.0272, 0)</f>
        <v>41.893900000000002</v>
      </c>
      <c r="D630" s="4">
        <f>60.773 * CHOOSE(CONTROL!$C$9, $C$13, 100%, $E$13) + CHOOSE(CONTROL!$C$28, 0.0021, 0)</f>
        <v>60.775100000000002</v>
      </c>
      <c r="E630" s="4">
        <f>286.325875796781 * CHOOSE(CONTROL!$C$9, $C$13, 100%, $E$13) + CHOOSE(CONTROL!$C$28, 0.0021, 0)</f>
        <v>286.327975796781</v>
      </c>
    </row>
    <row r="631" spans="1:5" ht="15">
      <c r="A631" s="13">
        <v>60357</v>
      </c>
      <c r="B631" s="4">
        <f>44.7549 * CHOOSE(CONTROL!$C$9, $C$13, 100%, $E$13) + CHOOSE(CONTROL!$C$28, 0.0272, 0)</f>
        <v>44.7821</v>
      </c>
      <c r="C631" s="4">
        <f>44.3917 * CHOOSE(CONTROL!$C$9, $C$13, 100%, $E$13) + CHOOSE(CONTROL!$C$28, 0.0272, 0)</f>
        <v>44.418900000000001</v>
      </c>
      <c r="D631" s="4">
        <f>63.9174 * CHOOSE(CONTROL!$C$9, $C$13, 100%, $E$13) + CHOOSE(CONTROL!$C$28, 0.0021, 0)</f>
        <v>63.919499999999999</v>
      </c>
      <c r="E631" s="4">
        <f>303.765035980893 * CHOOSE(CONTROL!$C$9, $C$13, 100%, $E$13) + CHOOSE(CONTROL!$C$28, 0.0021, 0)</f>
        <v>303.76713598089299</v>
      </c>
    </row>
    <row r="632" spans="1:5" ht="15">
      <c r="A632" s="13">
        <v>60387</v>
      </c>
      <c r="B632" s="4">
        <f>46.549 * CHOOSE(CONTROL!$C$9, $C$13, 100%, $E$13) + CHOOSE(CONTROL!$C$28, 0.0272, 0)</f>
        <v>46.5762</v>
      </c>
      <c r="C632" s="4">
        <f>46.1857 * CHOOSE(CONTROL!$C$9, $C$13, 100%, $E$13) + CHOOSE(CONTROL!$C$28, 0.0272, 0)</f>
        <v>46.212899999999998</v>
      </c>
      <c r="D632" s="4">
        <f>65.7287 * CHOOSE(CONTROL!$C$9, $C$13, 100%, $E$13) + CHOOSE(CONTROL!$C$28, 0.0021, 0)</f>
        <v>65.730800000000002</v>
      </c>
      <c r="E632" s="4">
        <f>316.155791699071 * CHOOSE(CONTROL!$C$9, $C$13, 100%, $E$13) + CHOOSE(CONTROL!$C$28, 0.0021, 0)</f>
        <v>316.157891699071</v>
      </c>
    </row>
    <row r="633" spans="1:5" ht="15">
      <c r="A633" s="13">
        <v>60418</v>
      </c>
      <c r="B633" s="4">
        <f>47.6451 * CHOOSE(CONTROL!$C$9, $C$13, 100%, $E$13) + CHOOSE(CONTROL!$C$28, 0.0272, 0)</f>
        <v>47.6723</v>
      </c>
      <c r="C633" s="4">
        <f>47.2818 * CHOOSE(CONTROL!$C$9, $C$13, 100%, $E$13) + CHOOSE(CONTROL!$C$28, 0.0272, 0)</f>
        <v>47.308999999999997</v>
      </c>
      <c r="D633" s="4">
        <f>65.013 * CHOOSE(CONTROL!$C$9, $C$13, 100%, $E$13) + CHOOSE(CONTROL!$C$28, 0.0021, 0)</f>
        <v>65.015100000000004</v>
      </c>
      <c r="E633" s="4">
        <f>323.726246477909 * CHOOSE(CONTROL!$C$9, $C$13, 100%, $E$13) + CHOOSE(CONTROL!$C$28, 0.0021, 0)</f>
        <v>323.72834647790899</v>
      </c>
    </row>
    <row r="634" spans="1:5" ht="15">
      <c r="A634" s="13">
        <v>60448</v>
      </c>
      <c r="B634" s="4">
        <f>47.7934 * CHOOSE(CONTROL!$C$9, $C$13, 100%, $E$13) + CHOOSE(CONTROL!$C$28, 0.0272, 0)</f>
        <v>47.820599999999999</v>
      </c>
      <c r="C634" s="4">
        <f>47.4301 * CHOOSE(CONTROL!$C$9, $C$13, 100%, $E$13) + CHOOSE(CONTROL!$C$28, 0.0272, 0)</f>
        <v>47.457300000000004</v>
      </c>
      <c r="D634" s="4">
        <f>65.5959 * CHOOSE(CONTROL!$C$9, $C$13, 100%, $E$13) + CHOOSE(CONTROL!$C$28, 0.0021, 0)</f>
        <v>65.597999999999999</v>
      </c>
      <c r="E634" s="4">
        <f>324.750560427518 * CHOOSE(CONTROL!$C$9, $C$13, 100%, $E$13) + CHOOSE(CONTROL!$C$28, 0.0021, 0)</f>
        <v>324.75266042751798</v>
      </c>
    </row>
    <row r="635" spans="1:5" ht="15">
      <c r="A635" s="13">
        <v>60479</v>
      </c>
      <c r="B635" s="4">
        <f>47.7784 * CHOOSE(CONTROL!$C$9, $C$13, 100%, $E$13) + CHOOSE(CONTROL!$C$28, 0.0272, 0)</f>
        <v>47.805599999999998</v>
      </c>
      <c r="C635" s="4">
        <f>47.4152 * CHOOSE(CONTROL!$C$9, $C$13, 100%, $E$13) + CHOOSE(CONTROL!$C$28, 0.0272, 0)</f>
        <v>47.442399999999999</v>
      </c>
      <c r="D635" s="4">
        <f>66.6477 * CHOOSE(CONTROL!$C$9, $C$13, 100%, $E$13) + CHOOSE(CONTROL!$C$28, 0.0021, 0)</f>
        <v>66.649799999999999</v>
      </c>
      <c r="E635" s="4">
        <f>324.647268264532 * CHOOSE(CONTROL!$C$9, $C$13, 100%, $E$13) + CHOOSE(CONTROL!$C$28, 0.0021, 0)</f>
        <v>324.64936826453197</v>
      </c>
    </row>
    <row r="636" spans="1:5" ht="15">
      <c r="A636" s="13">
        <v>60510</v>
      </c>
      <c r="B636" s="4">
        <f>48.9038 * CHOOSE(CONTROL!$C$9, $C$13, 100%, $E$13) + CHOOSE(CONTROL!$C$28, 0.0272, 0)</f>
        <v>48.930999999999997</v>
      </c>
      <c r="C636" s="4">
        <f>48.5406 * CHOOSE(CONTROL!$C$9, $C$13, 100%, $E$13) + CHOOSE(CONTROL!$C$28, 0.0272, 0)</f>
        <v>48.567799999999998</v>
      </c>
      <c r="D636" s="4">
        <f>65.9531 * CHOOSE(CONTROL!$C$9, $C$13, 100%, $E$13) + CHOOSE(CONTROL!$C$28, 0.0021, 0)</f>
        <v>65.955200000000005</v>
      </c>
      <c r="E636" s="4">
        <f>332.420003529218 * CHOOSE(CONTROL!$C$9, $C$13, 100%, $E$13) + CHOOSE(CONTROL!$C$28, 0.0021, 0)</f>
        <v>332.42210352921796</v>
      </c>
    </row>
    <row r="637" spans="1:5" ht="15">
      <c r="A637" s="13">
        <v>60540</v>
      </c>
      <c r="B637" s="4">
        <f>46.9858 * CHOOSE(CONTROL!$C$9, $C$13, 100%, $E$13) + CHOOSE(CONTROL!$C$28, 0.0272, 0)</f>
        <v>47.012999999999998</v>
      </c>
      <c r="C637" s="4">
        <f>46.6225 * CHOOSE(CONTROL!$C$9, $C$13, 100%, $E$13) + CHOOSE(CONTROL!$C$28, 0.0272, 0)</f>
        <v>46.649700000000003</v>
      </c>
      <c r="D637" s="4">
        <f>65.6249 * CHOOSE(CONTROL!$C$9, $C$13, 100%, $E$13) + CHOOSE(CONTROL!$C$28, 0.0021, 0)</f>
        <v>65.626999999999995</v>
      </c>
      <c r="E637" s="4">
        <f>319.172783626282 * CHOOSE(CONTROL!$C$9, $C$13, 100%, $E$13) + CHOOSE(CONTROL!$C$28, 0.0021, 0)</f>
        <v>319.174883626282</v>
      </c>
    </row>
    <row r="638" spans="1:5" ht="15">
      <c r="A638" s="13">
        <v>60571</v>
      </c>
      <c r="B638" s="4">
        <f>45.4504 * CHOOSE(CONTROL!$C$9, $C$13, 100%, $E$13) + CHOOSE(CONTROL!$C$28, 0.0272, 0)</f>
        <v>45.477600000000002</v>
      </c>
      <c r="C638" s="4">
        <f>45.0871 * CHOOSE(CONTROL!$C$9, $C$13, 100%, $E$13) + CHOOSE(CONTROL!$C$28, 0.0272, 0)</f>
        <v>45.1143</v>
      </c>
      <c r="D638" s="4">
        <f>64.7462 * CHOOSE(CONTROL!$C$9, $C$13, 100%, $E$13) + CHOOSE(CONTROL!$C$28, 0.0021, 0)</f>
        <v>64.7483</v>
      </c>
      <c r="E638" s="4">
        <f>308.568121559735 * CHOOSE(CONTROL!$C$9, $C$13, 100%, $E$13) + CHOOSE(CONTROL!$C$28, 0.0021, 0)</f>
        <v>308.57022155973499</v>
      </c>
    </row>
    <row r="639" spans="1:5" ht="15">
      <c r="A639" s="13">
        <v>60601</v>
      </c>
      <c r="B639" s="4">
        <f>44.4614 * CHOOSE(CONTROL!$C$9, $C$13, 100%, $E$13) + CHOOSE(CONTROL!$C$28, 0.0272, 0)</f>
        <v>44.488599999999998</v>
      </c>
      <c r="C639" s="4">
        <f>44.0982 * CHOOSE(CONTROL!$C$9, $C$13, 100%, $E$13) + CHOOSE(CONTROL!$C$28, 0.0272, 0)</f>
        <v>44.125399999999999</v>
      </c>
      <c r="D639" s="4">
        <f>64.4441 * CHOOSE(CONTROL!$C$9, $C$13, 100%, $E$13) + CHOOSE(CONTROL!$C$28, 0.0021, 0)</f>
        <v>64.446200000000005</v>
      </c>
      <c r="E639" s="4">
        <f>301.737927282295 * CHOOSE(CONTROL!$C$9, $C$13, 100%, $E$13) + CHOOSE(CONTROL!$C$28, 0.0021, 0)</f>
        <v>301.74002728229499</v>
      </c>
    </row>
    <row r="640" spans="1:5" ht="15">
      <c r="A640" s="13">
        <v>60632</v>
      </c>
      <c r="B640" s="4">
        <f>43.7772 * CHOOSE(CONTROL!$C$9, $C$13, 100%, $E$13) + CHOOSE(CONTROL!$C$28, 0.0272, 0)</f>
        <v>43.804400000000001</v>
      </c>
      <c r="C640" s="4">
        <f>43.414 * CHOOSE(CONTROL!$C$9, $C$13, 100%, $E$13) + CHOOSE(CONTROL!$C$28, 0.0272, 0)</f>
        <v>43.441200000000002</v>
      </c>
      <c r="D640" s="4">
        <f>62.2199 * CHOOSE(CONTROL!$C$9, $C$13, 100%, $E$13) + CHOOSE(CONTROL!$C$28, 0.0021, 0)</f>
        <v>62.222000000000001</v>
      </c>
      <c r="E640" s="4">
        <f>297.012310825693 * CHOOSE(CONTROL!$C$9, $C$13, 100%, $E$13) + CHOOSE(CONTROL!$C$28, 0.0021, 0)</f>
        <v>297.01441082569301</v>
      </c>
    </row>
    <row r="641" spans="1:5" ht="15">
      <c r="A641" s="13">
        <v>60663</v>
      </c>
      <c r="B641" s="4">
        <f>41.9052 * CHOOSE(CONTROL!$C$9, $C$13, 100%, $E$13) + CHOOSE(CONTROL!$C$28, 0.0272, 0)</f>
        <v>41.932400000000001</v>
      </c>
      <c r="C641" s="4">
        <f>41.542 * CHOOSE(CONTROL!$C$9, $C$13, 100%, $E$13) + CHOOSE(CONTROL!$C$28, 0.0272, 0)</f>
        <v>41.569200000000002</v>
      </c>
      <c r="D641" s="4">
        <f>59.7699 * CHOOSE(CONTROL!$C$9, $C$13, 100%, $E$13) + CHOOSE(CONTROL!$C$28, 0.0021, 0)</f>
        <v>59.771999999999998</v>
      </c>
      <c r="E641" s="4">
        <f>284.640541196973 * CHOOSE(CONTROL!$C$9, $C$13, 100%, $E$13) + CHOOSE(CONTROL!$C$28, 0.0021, 0)</f>
        <v>284.64264119697299</v>
      </c>
    </row>
    <row r="642" spans="1:5" ht="15">
      <c r="A642" s="13">
        <v>60691</v>
      </c>
      <c r="B642" s="4">
        <f>42.8819 * CHOOSE(CONTROL!$C$9, $C$13, 100%, $E$13) + CHOOSE(CONTROL!$C$28, 0.0272, 0)</f>
        <v>42.909100000000002</v>
      </c>
      <c r="C642" s="4">
        <f>42.5186 * CHOOSE(CONTROL!$C$9, $C$13, 100%, $E$13) + CHOOSE(CONTROL!$C$28, 0.0272, 0)</f>
        <v>42.5458</v>
      </c>
      <c r="D642" s="4">
        <f>61.814 * CHOOSE(CONTROL!$C$9, $C$13, 100%, $E$13) + CHOOSE(CONTROL!$C$28, 0.0021, 0)</f>
        <v>61.816099999999999</v>
      </c>
      <c r="E642" s="4">
        <f>291.399029387585 * CHOOSE(CONTROL!$C$9, $C$13, 100%, $E$13) + CHOOSE(CONTROL!$C$28, 0.0021, 0)</f>
        <v>291.401129387585</v>
      </c>
    </row>
    <row r="643" spans="1:5" ht="15">
      <c r="A643" s="13">
        <v>60722</v>
      </c>
      <c r="B643" s="4">
        <f>45.4466 * CHOOSE(CONTROL!$C$9, $C$13, 100%, $E$13) + CHOOSE(CONTROL!$C$28, 0.0272, 0)</f>
        <v>45.473799999999997</v>
      </c>
      <c r="C643" s="4">
        <f>45.0833 * CHOOSE(CONTROL!$C$9, $C$13, 100%, $E$13) + CHOOSE(CONTROL!$C$28, 0.0272, 0)</f>
        <v>45.110500000000002</v>
      </c>
      <c r="D643" s="4">
        <f>65.014 * CHOOSE(CONTROL!$C$9, $C$13, 100%, $E$13) + CHOOSE(CONTROL!$C$28, 0.0021, 0)</f>
        <v>65.016099999999994</v>
      </c>
      <c r="E643" s="4">
        <f>309.147178544008 * CHOOSE(CONTROL!$C$9, $C$13, 100%, $E$13) + CHOOSE(CONTROL!$C$28, 0.0021, 0)</f>
        <v>309.14927854400798</v>
      </c>
    </row>
    <row r="644" spans="1:5" ht="15">
      <c r="A644" s="13">
        <v>60752</v>
      </c>
      <c r="B644" s="4">
        <f>47.2688 * CHOOSE(CONTROL!$C$9, $C$13, 100%, $E$13) + CHOOSE(CONTROL!$C$28, 0.0272, 0)</f>
        <v>47.295999999999999</v>
      </c>
      <c r="C644" s="4">
        <f>46.9055 * CHOOSE(CONTROL!$C$9, $C$13, 100%, $E$13) + CHOOSE(CONTROL!$C$28, 0.0272, 0)</f>
        <v>46.932700000000004</v>
      </c>
      <c r="D644" s="4">
        <f>66.8573 * CHOOSE(CONTROL!$C$9, $C$13, 100%, $E$13) + CHOOSE(CONTROL!$C$28, 0.0021, 0)</f>
        <v>66.859399999999994</v>
      </c>
      <c r="E644" s="4">
        <f>321.757475044832 * CHOOSE(CONTROL!$C$9, $C$13, 100%, $E$13) + CHOOSE(CONTROL!$C$28, 0.0021, 0)</f>
        <v>321.75957504483199</v>
      </c>
    </row>
    <row r="645" spans="1:5" ht="15">
      <c r="A645" s="13">
        <v>60783</v>
      </c>
      <c r="B645" s="4">
        <f>48.3821 * CHOOSE(CONTROL!$C$9, $C$13, 100%, $E$13) + CHOOSE(CONTROL!$C$28, 0.0272, 0)</f>
        <v>48.409300000000002</v>
      </c>
      <c r="C645" s="4">
        <f>48.0189 * CHOOSE(CONTROL!$C$9, $C$13, 100%, $E$13) + CHOOSE(CONTROL!$C$28, 0.0272, 0)</f>
        <v>48.046100000000003</v>
      </c>
      <c r="D645" s="4">
        <f>66.1289 * CHOOSE(CONTROL!$C$9, $C$13, 100%, $E$13) + CHOOSE(CONTROL!$C$28, 0.0021, 0)</f>
        <v>66.131</v>
      </c>
      <c r="E645" s="4">
        <f>329.462063980209 * CHOOSE(CONTROL!$C$9, $C$13, 100%, $E$13) + CHOOSE(CONTROL!$C$28, 0.0021, 0)</f>
        <v>329.46416398020898</v>
      </c>
    </row>
    <row r="646" spans="1:5" ht="15">
      <c r="A646" s="13">
        <v>60813</v>
      </c>
      <c r="B646" s="4">
        <f>48.5328 * CHOOSE(CONTROL!$C$9, $C$13, 100%, $E$13) + CHOOSE(CONTROL!$C$28, 0.0272, 0)</f>
        <v>48.56</v>
      </c>
      <c r="C646" s="4">
        <f>48.1695 * CHOOSE(CONTROL!$C$9, $C$13, 100%, $E$13) + CHOOSE(CONTROL!$C$28, 0.0272, 0)</f>
        <v>48.1967</v>
      </c>
      <c r="D646" s="4">
        <f>66.7221 * CHOOSE(CONTROL!$C$9, $C$13, 100%, $E$13) + CHOOSE(CONTROL!$C$28, 0.0021, 0)</f>
        <v>66.724199999999996</v>
      </c>
      <c r="E646" s="4">
        <f>330.504526837867 * CHOOSE(CONTROL!$C$9, $C$13, 100%, $E$13) + CHOOSE(CONTROL!$C$28, 0.0021, 0)</f>
        <v>330.50662683786697</v>
      </c>
    </row>
    <row r="647" spans="1:5" ht="15">
      <c r="A647" s="13">
        <v>60844</v>
      </c>
      <c r="B647" s="4">
        <f>48.5176 * CHOOSE(CONTROL!$C$9, $C$13, 100%, $E$13) + CHOOSE(CONTROL!$C$28, 0.0272, 0)</f>
        <v>48.544800000000002</v>
      </c>
      <c r="C647" s="4">
        <f>48.1543 * CHOOSE(CONTROL!$C$9, $C$13, 100%, $E$13) + CHOOSE(CONTROL!$C$28, 0.0272, 0)</f>
        <v>48.1815</v>
      </c>
      <c r="D647" s="4">
        <f>67.7925 * CHOOSE(CONTROL!$C$9, $C$13, 100%, $E$13) + CHOOSE(CONTROL!$C$28, 0.0021, 0)</f>
        <v>67.794600000000003</v>
      </c>
      <c r="E647" s="4">
        <f>330.399404532893 * CHOOSE(CONTROL!$C$9, $C$13, 100%, $E$13) + CHOOSE(CONTROL!$C$28, 0.0021, 0)</f>
        <v>330.401504532893</v>
      </c>
    </row>
    <row r="648" spans="1:5" ht="15">
      <c r="A648" s="13">
        <v>60875</v>
      </c>
      <c r="B648" s="4">
        <f>49.6607 * CHOOSE(CONTROL!$C$9, $C$13, 100%, $E$13) + CHOOSE(CONTROL!$C$28, 0.0272, 0)</f>
        <v>49.687899999999999</v>
      </c>
      <c r="C648" s="4">
        <f>49.2974 * CHOOSE(CONTROL!$C$9, $C$13, 100%, $E$13) + CHOOSE(CONTROL!$C$28, 0.0272, 0)</f>
        <v>49.324600000000004</v>
      </c>
      <c r="D648" s="4">
        <f>67.0856 * CHOOSE(CONTROL!$C$9, $C$13, 100%, $E$13) + CHOOSE(CONTROL!$C$28, 0.0021, 0)</f>
        <v>67.087699999999998</v>
      </c>
      <c r="E648" s="4">
        <f>338.309857982177 * CHOOSE(CONTROL!$C$9, $C$13, 100%, $E$13) + CHOOSE(CONTROL!$C$28, 0.0021, 0)</f>
        <v>338.31195798217698</v>
      </c>
    </row>
    <row r="649" spans="1:5" ht="15">
      <c r="A649" s="13">
        <v>60905</v>
      </c>
      <c r="B649" s="4">
        <f>47.7125 * CHOOSE(CONTROL!$C$9, $C$13, 100%, $E$13) + CHOOSE(CONTROL!$C$28, 0.0272, 0)</f>
        <v>47.739699999999999</v>
      </c>
      <c r="C649" s="4">
        <f>47.3492 * CHOOSE(CONTROL!$C$9, $C$13, 100%, $E$13) + CHOOSE(CONTROL!$C$28, 0.0272, 0)</f>
        <v>47.376400000000004</v>
      </c>
      <c r="D649" s="4">
        <f>66.7516 * CHOOSE(CONTROL!$C$9, $C$13, 100%, $E$13) + CHOOSE(CONTROL!$C$28, 0.0021, 0)</f>
        <v>66.753699999999995</v>
      </c>
      <c r="E649" s="4">
        <f>324.827922369278 * CHOOSE(CONTROL!$C$9, $C$13, 100%, $E$13) + CHOOSE(CONTROL!$C$28, 0.0021, 0)</f>
        <v>324.83002236927797</v>
      </c>
    </row>
    <row r="650" spans="1:5" ht="15">
      <c r="A650" s="13">
        <v>60936</v>
      </c>
      <c r="B650" s="4">
        <f>46.1529 * CHOOSE(CONTROL!$C$9, $C$13, 100%, $E$13) + CHOOSE(CONTROL!$C$28, 0.0272, 0)</f>
        <v>46.180100000000003</v>
      </c>
      <c r="C650" s="4">
        <f>45.7896 * CHOOSE(CONTROL!$C$9, $C$13, 100%, $E$13) + CHOOSE(CONTROL!$C$28, 0.0272, 0)</f>
        <v>45.816800000000001</v>
      </c>
      <c r="D650" s="4">
        <f>65.8574 * CHOOSE(CONTROL!$C$9, $C$13, 100%, $E$13) + CHOOSE(CONTROL!$C$28, 0.0021, 0)</f>
        <v>65.859499999999997</v>
      </c>
      <c r="E650" s="4">
        <f>314.035365725293 * CHOOSE(CONTROL!$C$9, $C$13, 100%, $E$13) + CHOOSE(CONTROL!$C$28, 0.0021, 0)</f>
        <v>314.03746572529298</v>
      </c>
    </row>
    <row r="651" spans="1:5" ht="15">
      <c r="A651" s="13">
        <v>60966</v>
      </c>
      <c r="B651" s="4">
        <f>45.1484 * CHOOSE(CONTROL!$C$9, $C$13, 100%, $E$13) + CHOOSE(CONTROL!$C$28, 0.0272, 0)</f>
        <v>45.175600000000003</v>
      </c>
      <c r="C651" s="4">
        <f>44.7852 * CHOOSE(CONTROL!$C$9, $C$13, 100%, $E$13) + CHOOSE(CONTROL!$C$28, 0.0272, 0)</f>
        <v>44.812400000000004</v>
      </c>
      <c r="D651" s="4">
        <f>65.55 * CHOOSE(CONTROL!$C$9, $C$13, 100%, $E$13) + CHOOSE(CONTROL!$C$28, 0.0021, 0)</f>
        <v>65.552099999999996</v>
      </c>
      <c r="E651" s="4">
        <f>307.084153308895 * CHOOSE(CONTROL!$C$9, $C$13, 100%, $E$13) + CHOOSE(CONTROL!$C$28, 0.0021, 0)</f>
        <v>307.08625330889498</v>
      </c>
    </row>
    <row r="652" spans="1:5" ht="15">
      <c r="A652" s="13">
        <v>60997</v>
      </c>
      <c r="B652" s="4">
        <f>44.4535 * CHOOSE(CONTROL!$C$9, $C$13, 100%, $E$13) + CHOOSE(CONTROL!$C$28, 0.0272, 0)</f>
        <v>44.480699999999999</v>
      </c>
      <c r="C652" s="4">
        <f>44.0902 * CHOOSE(CONTROL!$C$9, $C$13, 100%, $E$13) + CHOOSE(CONTROL!$C$28, 0.0272, 0)</f>
        <v>44.117400000000004</v>
      </c>
      <c r="D652" s="4">
        <f>63.2865 * CHOOSE(CONTROL!$C$9, $C$13, 100%, $E$13) + CHOOSE(CONTROL!$C$28, 0.0021, 0)</f>
        <v>63.288599999999995</v>
      </c>
      <c r="E652" s="4">
        <f>302.27480785634 * CHOOSE(CONTROL!$C$9, $C$13, 100%, $E$13) + CHOOSE(CONTROL!$C$28, 0.0021, 0)</f>
        <v>302.27690785633996</v>
      </c>
    </row>
    <row r="653" spans="1:5" ht="15">
      <c r="A653" s="13">
        <v>61028</v>
      </c>
      <c r="B653" s="4">
        <f>42.552 * CHOOSE(CONTROL!$C$9, $C$13, 100%, $E$13) + CHOOSE(CONTROL!$C$28, 0.0272, 0)</f>
        <v>42.5792</v>
      </c>
      <c r="C653" s="4">
        <f>42.1887 * CHOOSE(CONTROL!$C$9, $C$13, 100%, $E$13) + CHOOSE(CONTROL!$C$28, 0.0272, 0)</f>
        <v>42.215899999999998</v>
      </c>
      <c r="D653" s="4">
        <f>60.7932 * CHOOSE(CONTROL!$C$9, $C$13, 100%, $E$13) + CHOOSE(CONTROL!$C$28, 0.0021, 0)</f>
        <v>60.795299999999997</v>
      </c>
      <c r="E653" s="4">
        <f>289.68383384261 * CHOOSE(CONTROL!$C$9, $C$13, 100%, $E$13) + CHOOSE(CONTROL!$C$28, 0.0021, 0)</f>
        <v>289.68593384260998</v>
      </c>
    </row>
    <row r="654" spans="1:5" ht="15">
      <c r="A654" s="13">
        <v>61056</v>
      </c>
      <c r="B654" s="4">
        <f>43.544 * CHOOSE(CONTROL!$C$9, $C$13, 100%, $E$13) + CHOOSE(CONTROL!$C$28, 0.0272, 0)</f>
        <v>43.571199999999997</v>
      </c>
      <c r="C654" s="4">
        <f>43.1807 * CHOOSE(CONTROL!$C$9, $C$13, 100%, $E$13) + CHOOSE(CONTROL!$C$28, 0.0272, 0)</f>
        <v>43.207900000000002</v>
      </c>
      <c r="D654" s="4">
        <f>62.8735 * CHOOSE(CONTROL!$C$9, $C$13, 100%, $E$13) + CHOOSE(CONTROL!$C$28, 0.0021, 0)</f>
        <v>62.875599999999999</v>
      </c>
      <c r="E654" s="4">
        <f>296.56206967579 * CHOOSE(CONTROL!$C$9, $C$13, 100%, $E$13) + CHOOSE(CONTROL!$C$28, 0.0021, 0)</f>
        <v>296.56416967578997</v>
      </c>
    </row>
    <row r="655" spans="1:5" ht="15">
      <c r="A655" s="13">
        <v>61087</v>
      </c>
      <c r="B655" s="4">
        <f>46.149 * CHOOSE(CONTROL!$C$9, $C$13, 100%, $E$13) + CHOOSE(CONTROL!$C$28, 0.0272, 0)</f>
        <v>46.176200000000001</v>
      </c>
      <c r="C655" s="4">
        <f>45.7858 * CHOOSE(CONTROL!$C$9, $C$13, 100%, $E$13) + CHOOSE(CONTROL!$C$28, 0.0272, 0)</f>
        <v>45.813000000000002</v>
      </c>
      <c r="D655" s="4">
        <f>66.13 * CHOOSE(CONTROL!$C$9, $C$13, 100%, $E$13) + CHOOSE(CONTROL!$C$28, 0.0021, 0)</f>
        <v>66.132099999999994</v>
      </c>
      <c r="E655" s="4">
        <f>314.62468250537 * CHOOSE(CONTROL!$C$9, $C$13, 100%, $E$13) + CHOOSE(CONTROL!$C$28, 0.0021, 0)</f>
        <v>314.62678250536999</v>
      </c>
    </row>
    <row r="656" spans="1:5" ht="15">
      <c r="A656" s="13">
        <v>61117</v>
      </c>
      <c r="B656" s="4">
        <f>47.9999 * CHOOSE(CONTROL!$C$9, $C$13, 100%, $E$13) + CHOOSE(CONTROL!$C$28, 0.0272, 0)</f>
        <v>48.027099999999997</v>
      </c>
      <c r="C656" s="4">
        <f>47.6366 * CHOOSE(CONTROL!$C$9, $C$13, 100%, $E$13) + CHOOSE(CONTROL!$C$28, 0.0272, 0)</f>
        <v>47.663800000000002</v>
      </c>
      <c r="D656" s="4">
        <f>68.0058 * CHOOSE(CONTROL!$C$9, $C$13, 100%, $E$13) + CHOOSE(CONTROL!$C$28, 0.0021, 0)</f>
        <v>68.007899999999992</v>
      </c>
      <c r="E656" s="4">
        <f>327.458409636752 * CHOOSE(CONTROL!$C$9, $C$13, 100%, $E$13) + CHOOSE(CONTROL!$C$28, 0.0021, 0)</f>
        <v>327.46050963675196</v>
      </c>
    </row>
    <row r="657" spans="1:5" ht="15">
      <c r="A657" s="13">
        <v>61148</v>
      </c>
      <c r="B657" s="4">
        <f>49.1308 * CHOOSE(CONTROL!$C$9, $C$13, 100%, $E$13) + CHOOSE(CONTROL!$C$28, 0.0272, 0)</f>
        <v>49.158000000000001</v>
      </c>
      <c r="C657" s="4">
        <f>48.7675 * CHOOSE(CONTROL!$C$9, $C$13, 100%, $E$13) + CHOOSE(CONTROL!$C$28, 0.0272, 0)</f>
        <v>48.794699999999999</v>
      </c>
      <c r="D657" s="4">
        <f>67.2646 * CHOOSE(CONTROL!$C$9, $C$13, 100%, $E$13) + CHOOSE(CONTROL!$C$28, 0.0021, 0)</f>
        <v>67.2667</v>
      </c>
      <c r="E657" s="4">
        <f>335.299509332515 * CHOOSE(CONTROL!$C$9, $C$13, 100%, $E$13) + CHOOSE(CONTROL!$C$28, 0.0021, 0)</f>
        <v>335.301609332515</v>
      </c>
    </row>
    <row r="658" spans="1:5" ht="15">
      <c r="A658" s="13">
        <v>61178</v>
      </c>
      <c r="B658" s="4">
        <f>49.2838 * CHOOSE(CONTROL!$C$9, $C$13, 100%, $E$13) + CHOOSE(CONTROL!$C$28, 0.0272, 0)</f>
        <v>49.311</v>
      </c>
      <c r="C658" s="4">
        <f>48.9205 * CHOOSE(CONTROL!$C$9, $C$13, 100%, $E$13) + CHOOSE(CONTROL!$C$28, 0.0272, 0)</f>
        <v>48.947699999999998</v>
      </c>
      <c r="D658" s="4">
        <f>67.8683 * CHOOSE(CONTROL!$C$9, $C$13, 100%, $E$13) + CHOOSE(CONTROL!$C$28, 0.0021, 0)</f>
        <v>67.870400000000004</v>
      </c>
      <c r="E658" s="4">
        <f>336.360442662584 * CHOOSE(CONTROL!$C$9, $C$13, 100%, $E$13) + CHOOSE(CONTROL!$C$28, 0.0021, 0)</f>
        <v>336.36254266258396</v>
      </c>
    </row>
    <row r="659" spans="1:5" ht="15">
      <c r="A659" s="13">
        <v>61209</v>
      </c>
      <c r="B659" s="4">
        <f>49.2684 * CHOOSE(CONTROL!$C$9, $C$13, 100%, $E$13) + CHOOSE(CONTROL!$C$28, 0.0272, 0)</f>
        <v>49.2956</v>
      </c>
      <c r="C659" s="4">
        <f>48.9051 * CHOOSE(CONTROL!$C$9, $C$13, 100%, $E$13) + CHOOSE(CONTROL!$C$28, 0.0272, 0)</f>
        <v>48.932299999999998</v>
      </c>
      <c r="D659" s="4">
        <f>68.9576 * CHOOSE(CONTROL!$C$9, $C$13, 100%, $E$13) + CHOOSE(CONTROL!$C$28, 0.0021, 0)</f>
        <v>68.959699999999998</v>
      </c>
      <c r="E659" s="4">
        <f>336.253457788963 * CHOOSE(CONTROL!$C$9, $C$13, 100%, $E$13) + CHOOSE(CONTROL!$C$28, 0.0021, 0)</f>
        <v>336.25555778896296</v>
      </c>
    </row>
    <row r="660" spans="1:5" ht="15">
      <c r="A660" s="13">
        <v>61240</v>
      </c>
      <c r="B660" s="4">
        <f>50.4294 * CHOOSE(CONTROL!$C$9, $C$13, 100%, $E$13) + CHOOSE(CONTROL!$C$28, 0.0272, 0)</f>
        <v>50.456600000000002</v>
      </c>
      <c r="C660" s="4">
        <f>50.0662 * CHOOSE(CONTROL!$C$9, $C$13, 100%, $E$13) + CHOOSE(CONTROL!$C$28, 0.0272, 0)</f>
        <v>50.093400000000003</v>
      </c>
      <c r="D660" s="4">
        <f>68.2382 * CHOOSE(CONTROL!$C$9, $C$13, 100%, $E$13) + CHOOSE(CONTROL!$C$28, 0.0021, 0)</f>
        <v>68.240300000000005</v>
      </c>
      <c r="E660" s="4">
        <f>344.3040695289 * CHOOSE(CONTROL!$C$9, $C$13, 100%, $E$13) + CHOOSE(CONTROL!$C$28, 0.0021, 0)</f>
        <v>344.3061695289</v>
      </c>
    </row>
    <row r="661" spans="1:5" ht="15">
      <c r="A661" s="13">
        <v>61270</v>
      </c>
      <c r="B661" s="4">
        <f>48.4506 * CHOOSE(CONTROL!$C$9, $C$13, 100%, $E$13) + CHOOSE(CONTROL!$C$28, 0.0272, 0)</f>
        <v>48.477800000000002</v>
      </c>
      <c r="C661" s="4">
        <f>48.0873 * CHOOSE(CONTROL!$C$9, $C$13, 100%, $E$13) + CHOOSE(CONTROL!$C$28, 0.0272, 0)</f>
        <v>48.1145</v>
      </c>
      <c r="D661" s="4">
        <f>67.8983 * CHOOSE(CONTROL!$C$9, $C$13, 100%, $E$13) + CHOOSE(CONTROL!$C$28, 0.0021, 0)</f>
        <v>67.900400000000005</v>
      </c>
      <c r="E661" s="4">
        <f>330.583259487082 * CHOOSE(CONTROL!$C$9, $C$13, 100%, $E$13) + CHOOSE(CONTROL!$C$28, 0.0021, 0)</f>
        <v>330.58535948708197</v>
      </c>
    </row>
    <row r="662" spans="1:5" ht="15">
      <c r="A662" s="13">
        <v>61301</v>
      </c>
      <c r="B662" s="4">
        <f>46.8665 * CHOOSE(CONTROL!$C$9, $C$13, 100%, $E$13) + CHOOSE(CONTROL!$C$28, 0.0272, 0)</f>
        <v>46.893700000000003</v>
      </c>
      <c r="C662" s="4">
        <f>46.5032 * CHOOSE(CONTROL!$C$9, $C$13, 100%, $E$13) + CHOOSE(CONTROL!$C$28, 0.0272, 0)</f>
        <v>46.5304</v>
      </c>
      <c r="D662" s="4">
        <f>66.9883 * CHOOSE(CONTROL!$C$9, $C$13, 100%, $E$13) + CHOOSE(CONTROL!$C$28, 0.0021, 0)</f>
        <v>66.990399999999994</v>
      </c>
      <c r="E662" s="4">
        <f>319.599479128719 * CHOOSE(CONTROL!$C$9, $C$13, 100%, $E$13) + CHOOSE(CONTROL!$C$28, 0.0021, 0)</f>
        <v>319.60157912871898</v>
      </c>
    </row>
    <row r="663" spans="1:5" ht="15">
      <c r="A663" s="13">
        <v>61331</v>
      </c>
      <c r="B663" s="4">
        <f>45.8462 * CHOOSE(CONTROL!$C$9, $C$13, 100%, $E$13) + CHOOSE(CONTROL!$C$28, 0.0272, 0)</f>
        <v>45.873400000000004</v>
      </c>
      <c r="C663" s="4">
        <f>45.4829 * CHOOSE(CONTROL!$C$9, $C$13, 100%, $E$13) + CHOOSE(CONTROL!$C$28, 0.0272, 0)</f>
        <v>45.510100000000001</v>
      </c>
      <c r="D663" s="4">
        <f>66.6754 * CHOOSE(CONTROL!$C$9, $C$13, 100%, $E$13) + CHOOSE(CONTROL!$C$28, 0.0021, 0)</f>
        <v>66.677499999999995</v>
      </c>
      <c r="E663" s="4">
        <f>312.525104360569 * CHOOSE(CONTROL!$C$9, $C$13, 100%, $E$13) + CHOOSE(CONTROL!$C$28, 0.0021, 0)</f>
        <v>312.52720436056899</v>
      </c>
    </row>
    <row r="664" spans="1:5" ht="15">
      <c r="A664" s="13">
        <v>61362</v>
      </c>
      <c r="B664" s="4">
        <f>45.1403 * CHOOSE(CONTROL!$C$9, $C$13, 100%, $E$13) + CHOOSE(CONTROL!$C$28, 0.0272, 0)</f>
        <v>45.167500000000004</v>
      </c>
      <c r="C664" s="4">
        <f>44.777 * CHOOSE(CONTROL!$C$9, $C$13, 100%, $E$13) + CHOOSE(CONTROL!$C$28, 0.0272, 0)</f>
        <v>44.804200000000002</v>
      </c>
      <c r="D664" s="4">
        <f>64.372 * CHOOSE(CONTROL!$C$9, $C$13, 100%, $E$13) + CHOOSE(CONTROL!$C$28, 0.0021, 0)</f>
        <v>64.374099999999999</v>
      </c>
      <c r="E664" s="4">
        <f>307.630546392435 * CHOOSE(CONTROL!$C$9, $C$13, 100%, $E$13) + CHOOSE(CONTROL!$C$28, 0.0021, 0)</f>
        <v>307.63264639243499</v>
      </c>
    </row>
    <row r="665" spans="1:5" ht="15">
      <c r="A665" s="13">
        <v>61393</v>
      </c>
      <c r="B665" s="4">
        <f>43.209 * CHOOSE(CONTROL!$C$9, $C$13, 100%, $E$13) + CHOOSE(CONTROL!$C$28, 0.0272, 0)</f>
        <v>43.236200000000004</v>
      </c>
      <c r="C665" s="4">
        <f>42.8457 * CHOOSE(CONTROL!$C$9, $C$13, 100%, $E$13) + CHOOSE(CONTROL!$C$28, 0.0272, 0)</f>
        <v>42.872900000000001</v>
      </c>
      <c r="D665" s="4">
        <f>61.8346 * CHOOSE(CONTROL!$C$9, $C$13, 100%, $E$13) + CHOOSE(CONTROL!$C$28, 0.0021, 0)</f>
        <v>61.8367</v>
      </c>
      <c r="E665" s="4">
        <f>294.816484106114 * CHOOSE(CONTROL!$C$9, $C$13, 100%, $E$13) + CHOOSE(CONTROL!$C$28, 0.0021, 0)</f>
        <v>294.81858410611397</v>
      </c>
    </row>
    <row r="666" spans="1:5" ht="15">
      <c r="A666" s="13">
        <v>61422</v>
      </c>
      <c r="B666" s="4">
        <f>44.2166 * CHOOSE(CONTROL!$C$9, $C$13, 100%, $E$13) + CHOOSE(CONTROL!$C$28, 0.0272, 0)</f>
        <v>44.2438</v>
      </c>
      <c r="C666" s="4">
        <f>43.8533 * CHOOSE(CONTROL!$C$9, $C$13, 100%, $E$13) + CHOOSE(CONTROL!$C$28, 0.0272, 0)</f>
        <v>43.880499999999998</v>
      </c>
      <c r="D666" s="4">
        <f>63.9516 * CHOOSE(CONTROL!$C$9, $C$13, 100%, $E$13) + CHOOSE(CONTROL!$C$28, 0.0021, 0)</f>
        <v>63.953699999999998</v>
      </c>
      <c r="E666" s="4">
        <f>301.816589283859 * CHOOSE(CONTROL!$C$9, $C$13, 100%, $E$13) + CHOOSE(CONTROL!$C$28, 0.0021, 0)</f>
        <v>301.81868928385899</v>
      </c>
    </row>
    <row r="667" spans="1:5" ht="15">
      <c r="A667" s="13">
        <v>61453</v>
      </c>
      <c r="B667" s="4">
        <f>46.8626 * CHOOSE(CONTROL!$C$9, $C$13, 100%, $E$13) + CHOOSE(CONTROL!$C$28, 0.0272, 0)</f>
        <v>46.889800000000001</v>
      </c>
      <c r="C667" s="4">
        <f>46.4993 * CHOOSE(CONTROL!$C$9, $C$13, 100%, $E$13) + CHOOSE(CONTROL!$C$28, 0.0272, 0)</f>
        <v>46.526499999999999</v>
      </c>
      <c r="D667" s="4">
        <f>67.2657 * CHOOSE(CONTROL!$C$9, $C$13, 100%, $E$13) + CHOOSE(CONTROL!$C$28, 0.0021, 0)</f>
        <v>67.267799999999994</v>
      </c>
      <c r="E667" s="4">
        <f>320.199237488798 * CHOOSE(CONTROL!$C$9, $C$13, 100%, $E$13) + CHOOSE(CONTROL!$C$28, 0.0021, 0)</f>
        <v>320.201337488798</v>
      </c>
    </row>
    <row r="668" spans="1:5" ht="15">
      <c r="A668" s="13">
        <v>61483</v>
      </c>
      <c r="B668" s="4">
        <f>48.7426 * CHOOSE(CONTROL!$C$9, $C$13, 100%, $E$13) + CHOOSE(CONTROL!$C$28, 0.0272, 0)</f>
        <v>48.769800000000004</v>
      </c>
      <c r="C668" s="4">
        <f>48.3793 * CHOOSE(CONTROL!$C$9, $C$13, 100%, $E$13) + CHOOSE(CONTROL!$C$28, 0.0272, 0)</f>
        <v>48.406500000000001</v>
      </c>
      <c r="D668" s="4">
        <f>69.1747 * CHOOSE(CONTROL!$C$9, $C$13, 100%, $E$13) + CHOOSE(CONTROL!$C$28, 0.0021, 0)</f>
        <v>69.1768</v>
      </c>
      <c r="E668" s="4">
        <f>333.260354019406 * CHOOSE(CONTROL!$C$9, $C$13, 100%, $E$13) + CHOOSE(CONTROL!$C$28, 0.0021, 0)</f>
        <v>333.26245401940599</v>
      </c>
    </row>
    <row r="669" spans="1:5" ht="15">
      <c r="A669" s="13">
        <v>61514</v>
      </c>
      <c r="B669" s="4">
        <f>49.8912 * CHOOSE(CONTROL!$C$9, $C$13, 100%, $E$13) + CHOOSE(CONTROL!$C$28, 0.0272, 0)</f>
        <v>49.918399999999998</v>
      </c>
      <c r="C669" s="4">
        <f>49.5279 * CHOOSE(CONTROL!$C$9, $C$13, 100%, $E$13) + CHOOSE(CONTROL!$C$28, 0.0272, 0)</f>
        <v>49.555100000000003</v>
      </c>
      <c r="D669" s="4">
        <f>68.4203 * CHOOSE(CONTROL!$C$9, $C$13, 100%, $E$13) + CHOOSE(CONTROL!$C$28, 0.0021, 0)</f>
        <v>68.422399999999996</v>
      </c>
      <c r="E669" s="4">
        <f>341.240383188331 * CHOOSE(CONTROL!$C$9, $C$13, 100%, $E$13) + CHOOSE(CONTROL!$C$28, 0.0021, 0)</f>
        <v>341.24248318833099</v>
      </c>
    </row>
    <row r="670" spans="1:5" ht="15">
      <c r="A670" s="13">
        <v>61544</v>
      </c>
      <c r="B670" s="4">
        <f>50.0466 * CHOOSE(CONTROL!$C$9, $C$13, 100%, $E$13) + CHOOSE(CONTROL!$C$28, 0.0272, 0)</f>
        <v>50.073799999999999</v>
      </c>
      <c r="C670" s="4">
        <f>49.6833 * CHOOSE(CONTROL!$C$9, $C$13, 100%, $E$13) + CHOOSE(CONTROL!$C$28, 0.0272, 0)</f>
        <v>49.710500000000003</v>
      </c>
      <c r="D670" s="4">
        <f>69.0347 * CHOOSE(CONTROL!$C$9, $C$13, 100%, $E$13) + CHOOSE(CONTROL!$C$28, 0.0021, 0)</f>
        <v>69.036799999999999</v>
      </c>
      <c r="E670" s="4">
        <f>342.320114252689 * CHOOSE(CONTROL!$C$9, $C$13, 100%, $E$13) + CHOOSE(CONTROL!$C$28, 0.0021, 0)</f>
        <v>342.32221425268898</v>
      </c>
    </row>
    <row r="671" spans="1:5" ht="15">
      <c r="A671" s="13">
        <v>61575</v>
      </c>
      <c r="B671" s="4">
        <f>50.0309 * CHOOSE(CONTROL!$C$9, $C$13, 100%, $E$13) + CHOOSE(CONTROL!$C$28, 0.0272, 0)</f>
        <v>50.058100000000003</v>
      </c>
      <c r="C671" s="4">
        <f>49.6677 * CHOOSE(CONTROL!$C$9, $C$13, 100%, $E$13) + CHOOSE(CONTROL!$C$28, 0.0272, 0)</f>
        <v>49.694900000000004</v>
      </c>
      <c r="D671" s="4">
        <f>70.1432 * CHOOSE(CONTROL!$C$9, $C$13, 100%, $E$13) + CHOOSE(CONTROL!$C$28, 0.0021, 0)</f>
        <v>70.145299999999992</v>
      </c>
      <c r="E671" s="4">
        <f>342.211233809224 * CHOOSE(CONTROL!$C$9, $C$13, 100%, $E$13) + CHOOSE(CONTROL!$C$28, 0.0021, 0)</f>
        <v>342.21333380922397</v>
      </c>
    </row>
    <row r="672" spans="1:5" ht="15">
      <c r="A672" s="13">
        <v>61606</v>
      </c>
      <c r="B672" s="4">
        <f>51.2103 * CHOOSE(CONTROL!$C$9, $C$13, 100%, $E$13) + CHOOSE(CONTROL!$C$28, 0.0272, 0)</f>
        <v>51.237499999999997</v>
      </c>
      <c r="C672" s="4">
        <f>50.847 * CHOOSE(CONTROL!$C$9, $C$13, 100%, $E$13) + CHOOSE(CONTROL!$C$28, 0.0272, 0)</f>
        <v>50.874200000000002</v>
      </c>
      <c r="D672" s="4">
        <f>69.4111 * CHOOSE(CONTROL!$C$9, $C$13, 100%, $E$13) + CHOOSE(CONTROL!$C$28, 0.0021, 0)</f>
        <v>69.413200000000003</v>
      </c>
      <c r="E672" s="4">
        <f>350.404487179935 * CHOOSE(CONTROL!$C$9, $C$13, 100%, $E$13) + CHOOSE(CONTROL!$C$28, 0.0021, 0)</f>
        <v>350.406587179935</v>
      </c>
    </row>
    <row r="673" spans="1:5" ht="15">
      <c r="A673" s="13">
        <v>61636</v>
      </c>
      <c r="B673" s="4">
        <f>49.2003 * CHOOSE(CONTROL!$C$9, $C$13, 100%, $E$13) + CHOOSE(CONTROL!$C$28, 0.0272, 0)</f>
        <v>49.227499999999999</v>
      </c>
      <c r="C673" s="4">
        <f>48.837 * CHOOSE(CONTROL!$C$9, $C$13, 100%, $E$13) + CHOOSE(CONTROL!$C$28, 0.0272, 0)</f>
        <v>48.864200000000004</v>
      </c>
      <c r="D673" s="4">
        <f>69.0652 * CHOOSE(CONTROL!$C$9, $C$13, 100%, $E$13) + CHOOSE(CONTROL!$C$28, 0.0021, 0)</f>
        <v>69.067300000000003</v>
      </c>
      <c r="E673" s="4">
        <f>336.440570305601 * CHOOSE(CONTROL!$C$9, $C$13, 100%, $E$13) + CHOOSE(CONTROL!$C$28, 0.0021, 0)</f>
        <v>336.44267030560098</v>
      </c>
    </row>
    <row r="674" spans="1:5" ht="15">
      <c r="A674" s="13">
        <v>61667</v>
      </c>
      <c r="B674" s="4">
        <f>47.5913 * CHOOSE(CONTROL!$C$9, $C$13, 100%, $E$13) + CHOOSE(CONTROL!$C$28, 0.0272, 0)</f>
        <v>47.618499999999997</v>
      </c>
      <c r="C674" s="4">
        <f>47.228 * CHOOSE(CONTROL!$C$9, $C$13, 100%, $E$13) + CHOOSE(CONTROL!$C$28, 0.0272, 0)</f>
        <v>47.255200000000002</v>
      </c>
      <c r="D674" s="4">
        <f>68.1391 * CHOOSE(CONTROL!$C$9, $C$13, 100%, $E$13) + CHOOSE(CONTROL!$C$28, 0.0021, 0)</f>
        <v>68.141199999999998</v>
      </c>
      <c r="E674" s="4">
        <f>325.262178109902 * CHOOSE(CONTROL!$C$9, $C$13, 100%, $E$13) + CHOOSE(CONTROL!$C$28, 0.0021, 0)</f>
        <v>325.26427810990197</v>
      </c>
    </row>
    <row r="675" spans="1:5" ht="15">
      <c r="A675" s="13">
        <v>61697</v>
      </c>
      <c r="B675" s="4">
        <f>46.555 * CHOOSE(CONTROL!$C$9, $C$13, 100%, $E$13) + CHOOSE(CONTROL!$C$28, 0.0272, 0)</f>
        <v>46.5822</v>
      </c>
      <c r="C675" s="4">
        <f>46.1917 * CHOOSE(CONTROL!$C$9, $C$13, 100%, $E$13) + CHOOSE(CONTROL!$C$28, 0.0272, 0)</f>
        <v>46.218899999999998</v>
      </c>
      <c r="D675" s="4">
        <f>67.8207 * CHOOSE(CONTROL!$C$9, $C$13, 100%, $E$13) + CHOOSE(CONTROL!$C$28, 0.0021, 0)</f>
        <v>67.822800000000001</v>
      </c>
      <c r="E675" s="4">
        <f>318.062458785806 * CHOOSE(CONTROL!$C$9, $C$13, 100%, $E$13) + CHOOSE(CONTROL!$C$28, 0.0021, 0)</f>
        <v>318.06455878580596</v>
      </c>
    </row>
    <row r="676" spans="1:5" ht="15">
      <c r="A676" s="13">
        <v>61728</v>
      </c>
      <c r="B676" s="4">
        <f>45.838 * CHOOSE(CONTROL!$C$9, $C$13, 100%, $E$13) + CHOOSE(CONTROL!$C$28, 0.0272, 0)</f>
        <v>45.865200000000002</v>
      </c>
      <c r="C676" s="4">
        <f>45.4747 * CHOOSE(CONTROL!$C$9, $C$13, 100%, $E$13) + CHOOSE(CONTROL!$C$28, 0.0272, 0)</f>
        <v>45.501899999999999</v>
      </c>
      <c r="D676" s="4">
        <f>65.4766 * CHOOSE(CONTROL!$C$9, $C$13, 100%, $E$13) + CHOOSE(CONTROL!$C$28, 0.0021, 0)</f>
        <v>65.478700000000003</v>
      </c>
      <c r="E676" s="4">
        <f>313.0811784973 * CHOOSE(CONTROL!$C$9, $C$13, 100%, $E$13) + CHOOSE(CONTROL!$C$28, 0.0021, 0)</f>
        <v>313.0832784973</v>
      </c>
    </row>
    <row r="677" spans="1:5" ht="15">
      <c r="A677" s="13">
        <v>61759</v>
      </c>
      <c r="B677" s="4">
        <f>43.8763 * CHOOSE(CONTROL!$C$9, $C$13, 100%, $E$13) + CHOOSE(CONTROL!$C$28, 0.0272, 0)</f>
        <v>43.903500000000001</v>
      </c>
      <c r="C677" s="4">
        <f>43.513 * CHOOSE(CONTROL!$C$9, $C$13, 100%, $E$13) + CHOOSE(CONTROL!$C$28, 0.0272, 0)</f>
        <v>43.540199999999999</v>
      </c>
      <c r="D677" s="4">
        <f>62.8944 * CHOOSE(CONTROL!$C$9, $C$13, 100%, $E$13) + CHOOSE(CONTROL!$C$28, 0.0021, 0)</f>
        <v>62.896499999999996</v>
      </c>
      <c r="E677" s="4">
        <f>300.040075235659 * CHOOSE(CONTROL!$C$9, $C$13, 100%, $E$13) + CHOOSE(CONTROL!$C$28, 0.0021, 0)</f>
        <v>300.04217523565899</v>
      </c>
    </row>
    <row r="678" spans="1:5" ht="15">
      <c r="A678" s="13">
        <v>61787</v>
      </c>
      <c r="B678" s="4">
        <f>44.8997 * CHOOSE(CONTROL!$C$9, $C$13, 100%, $E$13) + CHOOSE(CONTROL!$C$28, 0.0272, 0)</f>
        <v>44.926900000000003</v>
      </c>
      <c r="C678" s="4">
        <f>44.5364 * CHOOSE(CONTROL!$C$9, $C$13, 100%, $E$13) + CHOOSE(CONTROL!$C$28, 0.0272, 0)</f>
        <v>44.563600000000001</v>
      </c>
      <c r="D678" s="4">
        <f>65.0488 * CHOOSE(CONTROL!$C$9, $C$13, 100%, $E$13) + CHOOSE(CONTROL!$C$28, 0.0021, 0)</f>
        <v>65.050899999999999</v>
      </c>
      <c r="E678" s="4">
        <f>307.164209052518 * CHOOSE(CONTROL!$C$9, $C$13, 100%, $E$13) + CHOOSE(CONTROL!$C$28, 0.0021, 0)</f>
        <v>307.16630905251799</v>
      </c>
    </row>
    <row r="679" spans="1:5" ht="15">
      <c r="A679" s="13">
        <v>61818</v>
      </c>
      <c r="B679" s="4">
        <f>47.5873 * CHOOSE(CONTROL!$C$9, $C$13, 100%, $E$13) + CHOOSE(CONTROL!$C$28, 0.0272, 0)</f>
        <v>47.6145</v>
      </c>
      <c r="C679" s="4">
        <f>47.224 * CHOOSE(CONTROL!$C$9, $C$13, 100%, $E$13) + CHOOSE(CONTROL!$C$28, 0.0272, 0)</f>
        <v>47.251199999999997</v>
      </c>
      <c r="D679" s="4">
        <f>68.4214 * CHOOSE(CONTROL!$C$9, $C$13, 100%, $E$13) + CHOOSE(CONTROL!$C$28, 0.0021, 0)</f>
        <v>68.423500000000004</v>
      </c>
      <c r="E679" s="4">
        <f>325.872563055055 * CHOOSE(CONTROL!$C$9, $C$13, 100%, $E$13) + CHOOSE(CONTROL!$C$28, 0.0021, 0)</f>
        <v>325.87466305505501</v>
      </c>
    </row>
    <row r="680" spans="1:5" ht="15">
      <c r="A680" s="13">
        <v>61848</v>
      </c>
      <c r="B680" s="4">
        <f>49.4969 * CHOOSE(CONTROL!$C$9, $C$13, 100%, $E$13) + CHOOSE(CONTROL!$C$28, 0.0272, 0)</f>
        <v>49.524099999999997</v>
      </c>
      <c r="C680" s="4">
        <f>49.1336 * CHOOSE(CONTROL!$C$9, $C$13, 100%, $E$13) + CHOOSE(CONTROL!$C$28, 0.0272, 0)</f>
        <v>49.160800000000002</v>
      </c>
      <c r="D680" s="4">
        <f>70.3641 * CHOOSE(CONTROL!$C$9, $C$13, 100%, $E$13) + CHOOSE(CONTROL!$C$28, 0.0021, 0)</f>
        <v>70.366199999999992</v>
      </c>
      <c r="E680" s="4">
        <f>339.165097895457 * CHOOSE(CONTROL!$C$9, $C$13, 100%, $E$13) + CHOOSE(CONTROL!$C$28, 0.0021, 0)</f>
        <v>339.16719789545698</v>
      </c>
    </row>
    <row r="681" spans="1:5" ht="15">
      <c r="A681" s="13">
        <v>61879</v>
      </c>
      <c r="B681" s="4">
        <f>50.6636 * CHOOSE(CONTROL!$C$9, $C$13, 100%, $E$13) + CHOOSE(CONTROL!$C$28, 0.0272, 0)</f>
        <v>50.690800000000003</v>
      </c>
      <c r="C681" s="4">
        <f>50.3003 * CHOOSE(CONTROL!$C$9, $C$13, 100%, $E$13) + CHOOSE(CONTROL!$C$28, 0.0272, 0)</f>
        <v>50.327500000000001</v>
      </c>
      <c r="D681" s="4">
        <f>69.5965 * CHOOSE(CONTROL!$C$9, $C$13, 100%, $E$13) + CHOOSE(CONTROL!$C$28, 0.0021, 0)</f>
        <v>69.598600000000005</v>
      </c>
      <c r="E681" s="4">
        <f>347.286518105344 * CHOOSE(CONTROL!$C$9, $C$13, 100%, $E$13) + CHOOSE(CONTROL!$C$28, 0.0021, 0)</f>
        <v>347.28861810534397</v>
      </c>
    </row>
    <row r="682" spans="1:5" ht="15">
      <c r="A682" s="13">
        <v>61909</v>
      </c>
      <c r="B682" s="4">
        <f>50.8214 * CHOOSE(CONTROL!$C$9, $C$13, 100%, $E$13) + CHOOSE(CONTROL!$C$28, 0.0272, 0)</f>
        <v>50.848599999999998</v>
      </c>
      <c r="C682" s="4">
        <f>50.4582 * CHOOSE(CONTROL!$C$9, $C$13, 100%, $E$13) + CHOOSE(CONTROL!$C$28, 0.0272, 0)</f>
        <v>50.485399999999998</v>
      </c>
      <c r="D682" s="4">
        <f>70.2217 * CHOOSE(CONTROL!$C$9, $C$13, 100%, $E$13) + CHOOSE(CONTROL!$C$28, 0.0021, 0)</f>
        <v>70.223799999999997</v>
      </c>
      <c r="E682" s="4">
        <f>348.385379964328 * CHOOSE(CONTROL!$C$9, $C$13, 100%, $E$13) + CHOOSE(CONTROL!$C$28, 0.0021, 0)</f>
        <v>348.38747996432801</v>
      </c>
    </row>
    <row r="683" spans="1:5" ht="15">
      <c r="A683" s="13">
        <v>61940</v>
      </c>
      <c r="B683" s="4">
        <f>50.8055 * CHOOSE(CONTROL!$C$9, $C$13, 100%, $E$13) + CHOOSE(CONTROL!$C$28, 0.0272, 0)</f>
        <v>50.832700000000003</v>
      </c>
      <c r="C683" s="4">
        <f>50.4422 * CHOOSE(CONTROL!$C$9, $C$13, 100%, $E$13) + CHOOSE(CONTROL!$C$28, 0.0272, 0)</f>
        <v>50.4694</v>
      </c>
      <c r="D683" s="4">
        <f>71.3498 * CHOOSE(CONTROL!$C$9, $C$13, 100%, $E$13) + CHOOSE(CONTROL!$C$28, 0.0021, 0)</f>
        <v>71.351900000000001</v>
      </c>
      <c r="E683" s="4">
        <f>348.274570365103 * CHOOSE(CONTROL!$C$9, $C$13, 100%, $E$13) + CHOOSE(CONTROL!$C$28, 0.0021, 0)</f>
        <v>348.27667036510297</v>
      </c>
    </row>
    <row r="684" spans="1:5" ht="15">
      <c r="A684" s="13">
        <v>61971</v>
      </c>
      <c r="B684" s="4">
        <f>52.0034 * CHOOSE(CONTROL!$C$9, $C$13, 100%, $E$13) + CHOOSE(CONTROL!$C$28, 0.0272, 0)</f>
        <v>52.0306</v>
      </c>
      <c r="C684" s="4">
        <f>51.6401 * CHOOSE(CONTROL!$C$9, $C$13, 100%, $E$13) + CHOOSE(CONTROL!$C$28, 0.0272, 0)</f>
        <v>51.667299999999997</v>
      </c>
      <c r="D684" s="4">
        <f>70.6048 * CHOOSE(CONTROL!$C$9, $C$13, 100%, $E$13) + CHOOSE(CONTROL!$C$28, 0.0021, 0)</f>
        <v>70.606899999999996</v>
      </c>
      <c r="E684" s="4">
        <f>356.612992706806 * CHOOSE(CONTROL!$C$9, $C$13, 100%, $E$13) + CHOOSE(CONTROL!$C$28, 0.0021, 0)</f>
        <v>356.61509270680597</v>
      </c>
    </row>
    <row r="685" spans="1:5" ht="15">
      <c r="A685" s="13">
        <v>62001</v>
      </c>
      <c r="B685" s="4">
        <f>49.9618 * CHOOSE(CONTROL!$C$9, $C$13, 100%, $E$13) + CHOOSE(CONTROL!$C$28, 0.0272, 0)</f>
        <v>49.988999999999997</v>
      </c>
      <c r="C685" s="4">
        <f>49.5985 * CHOOSE(CONTROL!$C$9, $C$13, 100%, $E$13) + CHOOSE(CONTROL!$C$28, 0.0272, 0)</f>
        <v>49.625700000000002</v>
      </c>
      <c r="D685" s="4">
        <f>70.2528 * CHOOSE(CONTROL!$C$9, $C$13, 100%, $E$13) + CHOOSE(CONTROL!$C$28, 0.0021, 0)</f>
        <v>70.254899999999992</v>
      </c>
      <c r="E685" s="4">
        <f>342.401661606162 * CHOOSE(CONTROL!$C$9, $C$13, 100%, $E$13) + CHOOSE(CONTROL!$C$28, 0.0021, 0)</f>
        <v>342.40376160616199</v>
      </c>
    </row>
    <row r="686" spans="1:5" ht="15">
      <c r="A686" s="13">
        <v>62032</v>
      </c>
      <c r="B686" s="4">
        <f>48.3275 * CHOOSE(CONTROL!$C$9, $C$13, 100%, $E$13) + CHOOSE(CONTROL!$C$28, 0.0272, 0)</f>
        <v>48.354700000000001</v>
      </c>
      <c r="C686" s="4">
        <f>47.9642 * CHOOSE(CONTROL!$C$9, $C$13, 100%, $E$13) + CHOOSE(CONTROL!$C$28, 0.0272, 0)</f>
        <v>47.991399999999999</v>
      </c>
      <c r="D686" s="4">
        <f>69.3103 * CHOOSE(CONTROL!$C$9, $C$13, 100%, $E$13) + CHOOSE(CONTROL!$C$28, 0.0021, 0)</f>
        <v>69.312399999999997</v>
      </c>
      <c r="E686" s="4">
        <f>331.025209419032 * CHOOSE(CONTROL!$C$9, $C$13, 100%, $E$13) + CHOOSE(CONTROL!$C$28, 0.0021, 0)</f>
        <v>331.02730941903201</v>
      </c>
    </row>
    <row r="687" spans="1:5" ht="15">
      <c r="A687" s="13">
        <v>62062</v>
      </c>
      <c r="B687" s="4">
        <f>47.2749 * CHOOSE(CONTROL!$C$9, $C$13, 100%, $E$13) + CHOOSE(CONTROL!$C$28, 0.0272, 0)</f>
        <v>47.302100000000003</v>
      </c>
      <c r="C687" s="4">
        <f>46.9116 * CHOOSE(CONTROL!$C$9, $C$13, 100%, $E$13) + CHOOSE(CONTROL!$C$28, 0.0272, 0)</f>
        <v>46.938800000000001</v>
      </c>
      <c r="D687" s="4">
        <f>68.9863 * CHOOSE(CONTROL!$C$9, $C$13, 100%, $E$13) + CHOOSE(CONTROL!$C$28, 0.0021, 0)</f>
        <v>68.988399999999999</v>
      </c>
      <c r="E687" s="4">
        <f>323.697924670259 * CHOOSE(CONTROL!$C$9, $C$13, 100%, $E$13) + CHOOSE(CONTROL!$C$28, 0.0021, 0)</f>
        <v>323.70002467025898</v>
      </c>
    </row>
    <row r="688" spans="1:5" ht="15">
      <c r="A688" s="13">
        <v>62093</v>
      </c>
      <c r="B688" s="4">
        <f>46.5466 * CHOOSE(CONTROL!$C$9, $C$13, 100%, $E$13) + CHOOSE(CONTROL!$C$28, 0.0272, 0)</f>
        <v>46.573799999999999</v>
      </c>
      <c r="C688" s="4">
        <f>46.1834 * CHOOSE(CONTROL!$C$9, $C$13, 100%, $E$13) + CHOOSE(CONTROL!$C$28, 0.0272, 0)</f>
        <v>46.210599999999999</v>
      </c>
      <c r="D688" s="4">
        <f>66.6007 * CHOOSE(CONTROL!$C$9, $C$13, 100%, $E$13) + CHOOSE(CONTROL!$C$28, 0.0021, 0)</f>
        <v>66.602800000000002</v>
      </c>
      <c r="E688" s="4">
        <f>318.628385505702 * CHOOSE(CONTROL!$C$9, $C$13, 100%, $E$13) + CHOOSE(CONTROL!$C$28, 0.0021, 0)</f>
        <v>318.63048550570198</v>
      </c>
    </row>
    <row r="689" spans="1:5" ht="15">
      <c r="A689" s="13">
        <v>62124</v>
      </c>
      <c r="B689" s="4">
        <f>44.5541 * CHOOSE(CONTROL!$C$9, $C$13, 100%, $E$13) + CHOOSE(CONTROL!$C$28, 0.0272, 0)</f>
        <v>44.581299999999999</v>
      </c>
      <c r="C689" s="4">
        <f>44.1908 * CHOOSE(CONTROL!$C$9, $C$13, 100%, $E$13) + CHOOSE(CONTROL!$C$28, 0.0272, 0)</f>
        <v>44.218000000000004</v>
      </c>
      <c r="D689" s="4">
        <f>63.9729 * CHOOSE(CONTROL!$C$9, $C$13, 100%, $E$13) + CHOOSE(CONTROL!$C$28, 0.0021, 0)</f>
        <v>63.975000000000001</v>
      </c>
      <c r="E689" s="4">
        <f>305.356218531583 * CHOOSE(CONTROL!$C$9, $C$13, 100%, $E$13) + CHOOSE(CONTROL!$C$28, 0.0021, 0)</f>
        <v>305.358318531583</v>
      </c>
    </row>
    <row r="690" spans="1:5" ht="15">
      <c r="A690" s="13">
        <v>62152</v>
      </c>
      <c r="B690" s="4">
        <f>45.5936 * CHOOSE(CONTROL!$C$9, $C$13, 100%, $E$13) + CHOOSE(CONTROL!$C$28, 0.0272, 0)</f>
        <v>45.620800000000003</v>
      </c>
      <c r="C690" s="4">
        <f>45.2303 * CHOOSE(CONTROL!$C$9, $C$13, 100%, $E$13) + CHOOSE(CONTROL!$C$28, 0.0272, 0)</f>
        <v>45.2575</v>
      </c>
      <c r="D690" s="4">
        <f>66.1654 * CHOOSE(CONTROL!$C$9, $C$13, 100%, $E$13) + CHOOSE(CONTROL!$C$28, 0.0021, 0)</f>
        <v>66.167500000000004</v>
      </c>
      <c r="E690" s="4">
        <f>312.606578540727 * CHOOSE(CONTROL!$C$9, $C$13, 100%, $E$13) + CHOOSE(CONTROL!$C$28, 0.0021, 0)</f>
        <v>312.608678540727</v>
      </c>
    </row>
    <row r="691" spans="1:5" ht="15">
      <c r="A691" s="13">
        <v>62183</v>
      </c>
      <c r="B691" s="4">
        <f>48.3235 * CHOOSE(CONTROL!$C$9, $C$13, 100%, $E$13) + CHOOSE(CONTROL!$C$28, 0.0272, 0)</f>
        <v>48.350700000000003</v>
      </c>
      <c r="C691" s="4">
        <f>47.9602 * CHOOSE(CONTROL!$C$9, $C$13, 100%, $E$13) + CHOOSE(CONTROL!$C$28, 0.0272, 0)</f>
        <v>47.987400000000001</v>
      </c>
      <c r="D691" s="4">
        <f>69.5976 * CHOOSE(CONTROL!$C$9, $C$13, 100%, $E$13) + CHOOSE(CONTROL!$C$28, 0.0021, 0)</f>
        <v>69.599699999999999</v>
      </c>
      <c r="E691" s="4">
        <f>331.646409232271 * CHOOSE(CONTROL!$C$9, $C$13, 100%, $E$13) + CHOOSE(CONTROL!$C$28, 0.0021, 0)</f>
        <v>331.64850923227101</v>
      </c>
    </row>
    <row r="692" spans="1:5" ht="15">
      <c r="A692" s="13">
        <v>62213</v>
      </c>
      <c r="B692" s="4">
        <f>50.263 * CHOOSE(CONTROL!$C$9, $C$13, 100%, $E$13) + CHOOSE(CONTROL!$C$28, 0.0272, 0)</f>
        <v>50.290199999999999</v>
      </c>
      <c r="C692" s="4">
        <f>49.8998 * CHOOSE(CONTROL!$C$9, $C$13, 100%, $E$13) + CHOOSE(CONTROL!$C$28, 0.0272, 0)</f>
        <v>49.927</v>
      </c>
      <c r="D692" s="4">
        <f>71.5746 * CHOOSE(CONTROL!$C$9, $C$13, 100%, $E$13) + CHOOSE(CONTROL!$C$28, 0.0021, 0)</f>
        <v>71.576700000000002</v>
      </c>
      <c r="E692" s="4">
        <f>345.174462677719 * CHOOSE(CONTROL!$C$9, $C$13, 100%, $E$13) + CHOOSE(CONTROL!$C$28, 0.0021, 0)</f>
        <v>345.17656267771901</v>
      </c>
    </row>
    <row r="693" spans="1:5" ht="15">
      <c r="A693" s="13">
        <v>62244</v>
      </c>
      <c r="B693" s="4">
        <f>51.4481 * CHOOSE(CONTROL!$C$9, $C$13, 100%, $E$13) + CHOOSE(CONTROL!$C$28, 0.0272, 0)</f>
        <v>51.475299999999997</v>
      </c>
      <c r="C693" s="4">
        <f>51.0848 * CHOOSE(CONTROL!$C$9, $C$13, 100%, $E$13) + CHOOSE(CONTROL!$C$28, 0.0272, 0)</f>
        <v>51.112000000000002</v>
      </c>
      <c r="D693" s="4">
        <f>70.7934 * CHOOSE(CONTROL!$C$9, $C$13, 100%, $E$13) + CHOOSE(CONTROL!$C$28, 0.0021, 0)</f>
        <v>70.795500000000004</v>
      </c>
      <c r="E693" s="4">
        <f>353.439779110696 * CHOOSE(CONTROL!$C$9, $C$13, 100%, $E$13) + CHOOSE(CONTROL!$C$28, 0.0021, 0)</f>
        <v>353.44187911069599</v>
      </c>
    </row>
    <row r="694" spans="1:5" ht="15">
      <c r="A694" s="13">
        <v>62274</v>
      </c>
      <c r="B694" s="4">
        <f>51.6084 * CHOOSE(CONTROL!$C$9, $C$13, 100%, $E$13) + CHOOSE(CONTROL!$C$28, 0.0272, 0)</f>
        <v>51.635600000000004</v>
      </c>
      <c r="C694" s="4">
        <f>51.2452 * CHOOSE(CONTROL!$C$9, $C$13, 100%, $E$13) + CHOOSE(CONTROL!$C$28, 0.0272, 0)</f>
        <v>51.272399999999998</v>
      </c>
      <c r="D694" s="4">
        <f>71.4297 * CHOOSE(CONTROL!$C$9, $C$13, 100%, $E$13) + CHOOSE(CONTROL!$C$28, 0.0021, 0)</f>
        <v>71.431799999999996</v>
      </c>
      <c r="E694" s="4">
        <f>354.558110725846 * CHOOSE(CONTROL!$C$9, $C$13, 100%, $E$13) + CHOOSE(CONTROL!$C$28, 0.0021, 0)</f>
        <v>354.56021072584599</v>
      </c>
    </row>
    <row r="695" spans="1:5" ht="15">
      <c r="A695" s="13">
        <v>62305</v>
      </c>
      <c r="B695" s="4">
        <f>51.5923 * CHOOSE(CONTROL!$C$9, $C$13, 100%, $E$13) + CHOOSE(CONTROL!$C$28, 0.0272, 0)</f>
        <v>51.619500000000002</v>
      </c>
      <c r="C695" s="4">
        <f>51.229 * CHOOSE(CONTROL!$C$9, $C$13, 100%, $E$13) + CHOOSE(CONTROL!$C$28, 0.0272, 0)</f>
        <v>51.2562</v>
      </c>
      <c r="D695" s="4">
        <f>72.5777 * CHOOSE(CONTROL!$C$9, $C$13, 100%, $E$13) + CHOOSE(CONTROL!$C$28, 0.0021, 0)</f>
        <v>72.579799999999992</v>
      </c>
      <c r="E695" s="4">
        <f>354.445337789865 * CHOOSE(CONTROL!$C$9, $C$13, 100%, $E$13) + CHOOSE(CONTROL!$C$28, 0.0021, 0)</f>
        <v>354.44743778986498</v>
      </c>
    </row>
    <row r="696" spans="1:5" ht="15">
      <c r="A696" s="13">
        <v>62336</v>
      </c>
      <c r="B696" s="4">
        <f>52.809 * CHOOSE(CONTROL!$C$9, $C$13, 100%, $E$13) + CHOOSE(CONTROL!$C$28, 0.0272, 0)</f>
        <v>52.836199999999998</v>
      </c>
      <c r="C696" s="4">
        <f>52.4457 * CHOOSE(CONTROL!$C$9, $C$13, 100%, $E$13) + CHOOSE(CONTROL!$C$28, 0.0272, 0)</f>
        <v>52.472900000000003</v>
      </c>
      <c r="D696" s="4">
        <f>71.8195 * CHOOSE(CONTROL!$C$9, $C$13, 100%, $E$13) + CHOOSE(CONTROL!$C$28, 0.0021, 0)</f>
        <v>71.821600000000004</v>
      </c>
      <c r="E696" s="4">
        <f>362.931501222473 * CHOOSE(CONTROL!$C$9, $C$13, 100%, $E$13) + CHOOSE(CONTROL!$C$28, 0.0021, 0)</f>
        <v>362.93360122247299</v>
      </c>
    </row>
    <row r="697" spans="1:5" ht="15">
      <c r="A697" s="13">
        <v>62366</v>
      </c>
      <c r="B697" s="4">
        <f>50.7353 * CHOOSE(CONTROL!$C$9, $C$13, 100%, $E$13) + CHOOSE(CONTROL!$C$28, 0.0272, 0)</f>
        <v>50.762500000000003</v>
      </c>
      <c r="C697" s="4">
        <f>50.372 * CHOOSE(CONTROL!$C$9, $C$13, 100%, $E$13) + CHOOSE(CONTROL!$C$28, 0.0272, 0)</f>
        <v>50.3992</v>
      </c>
      <c r="D697" s="4">
        <f>71.4613 * CHOOSE(CONTROL!$C$9, $C$13, 100%, $E$13) + CHOOSE(CONTROL!$C$28, 0.0021, 0)</f>
        <v>71.463399999999993</v>
      </c>
      <c r="E697" s="4">
        <f>348.468372182845 * CHOOSE(CONTROL!$C$9, $C$13, 100%, $E$13) + CHOOSE(CONTROL!$C$28, 0.0021, 0)</f>
        <v>348.47047218284496</v>
      </c>
    </row>
    <row r="698" spans="1:5" ht="15">
      <c r="A698" s="13">
        <v>62397</v>
      </c>
      <c r="B698" s="4">
        <f>49.0753 * CHOOSE(CONTROL!$C$9, $C$13, 100%, $E$13) + CHOOSE(CONTROL!$C$28, 0.0272, 0)</f>
        <v>49.102499999999999</v>
      </c>
      <c r="C698" s="4">
        <f>48.712 * CHOOSE(CONTROL!$C$9, $C$13, 100%, $E$13) + CHOOSE(CONTROL!$C$28, 0.0272, 0)</f>
        <v>48.739200000000004</v>
      </c>
      <c r="D698" s="4">
        <f>70.5022 * CHOOSE(CONTROL!$C$9, $C$13, 100%, $E$13) + CHOOSE(CONTROL!$C$28, 0.0021, 0)</f>
        <v>70.504300000000001</v>
      </c>
      <c r="E698" s="4">
        <f>336.890350755411 * CHOOSE(CONTROL!$C$9, $C$13, 100%, $E$13) + CHOOSE(CONTROL!$C$28, 0.0021, 0)</f>
        <v>336.89245075541101</v>
      </c>
    </row>
    <row r="699" spans="1:5" ht="15">
      <c r="A699" s="13">
        <v>62427</v>
      </c>
      <c r="B699" s="4">
        <f>48.0061 * CHOOSE(CONTROL!$C$9, $C$13, 100%, $E$13) + CHOOSE(CONTROL!$C$28, 0.0272, 0)</f>
        <v>48.033300000000004</v>
      </c>
      <c r="C699" s="4">
        <f>47.6429 * CHOOSE(CONTROL!$C$9, $C$13, 100%, $E$13) + CHOOSE(CONTROL!$C$28, 0.0272, 0)</f>
        <v>47.670099999999998</v>
      </c>
      <c r="D699" s="4">
        <f>70.1724 * CHOOSE(CONTROL!$C$9, $C$13, 100%, $E$13) + CHOOSE(CONTROL!$C$28, 0.0021, 0)</f>
        <v>70.174499999999995</v>
      </c>
      <c r="E699" s="4">
        <f>329.433240363634 * CHOOSE(CONTROL!$C$9, $C$13, 100%, $E$13) + CHOOSE(CONTROL!$C$28, 0.0021, 0)</f>
        <v>329.435340363634</v>
      </c>
    </row>
    <row r="700" spans="1:5" ht="15">
      <c r="A700" s="13">
        <v>62458</v>
      </c>
      <c r="B700" s="4">
        <f>47.2664 * CHOOSE(CONTROL!$C$9, $C$13, 100%, $E$13) + CHOOSE(CONTROL!$C$28, 0.0272, 0)</f>
        <v>47.293599999999998</v>
      </c>
      <c r="C700" s="4">
        <f>46.9031 * CHOOSE(CONTROL!$C$9, $C$13, 100%, $E$13) + CHOOSE(CONTROL!$C$28, 0.0272, 0)</f>
        <v>46.930300000000003</v>
      </c>
      <c r="D700" s="4">
        <f>67.7448 * CHOOSE(CONTROL!$C$9, $C$13, 100%, $E$13) + CHOOSE(CONTROL!$C$28, 0.0021, 0)</f>
        <v>67.746899999999997</v>
      </c>
      <c r="E700" s="4">
        <f>324.27387854248 * CHOOSE(CONTROL!$C$9, $C$13, 100%, $E$13) + CHOOSE(CONTROL!$C$28, 0.0021, 0)</f>
        <v>324.27597854248</v>
      </c>
    </row>
    <row r="701" spans="1:5" ht="15">
      <c r="A701" s="13">
        <v>62489</v>
      </c>
      <c r="B701" s="4">
        <f>45.2425 * CHOOSE(CONTROL!$C$9, $C$13, 100%, $E$13) + CHOOSE(CONTROL!$C$28, 0.0272, 0)</f>
        <v>45.2697</v>
      </c>
      <c r="C701" s="4">
        <f>44.8792 * CHOOSE(CONTROL!$C$9, $C$13, 100%, $E$13) + CHOOSE(CONTROL!$C$28, 0.0272, 0)</f>
        <v>44.906399999999998</v>
      </c>
      <c r="D701" s="4">
        <f>65.0705 * CHOOSE(CONTROL!$C$9, $C$13, 100%, $E$13) + CHOOSE(CONTROL!$C$28, 0.0021, 0)</f>
        <v>65.072599999999994</v>
      </c>
      <c r="E701" s="4">
        <f>310.766553843426 * CHOOSE(CONTROL!$C$9, $C$13, 100%, $E$13) + CHOOSE(CONTROL!$C$28, 0.0021, 0)</f>
        <v>310.76865384342597</v>
      </c>
    </row>
    <row r="702" spans="1:5" ht="15">
      <c r="A702" s="13">
        <v>62517</v>
      </c>
      <c r="B702" s="4">
        <f>46.2984 * CHOOSE(CONTROL!$C$9, $C$13, 100%, $E$13) + CHOOSE(CONTROL!$C$28, 0.0272, 0)</f>
        <v>46.325600000000001</v>
      </c>
      <c r="C702" s="4">
        <f>45.9351 * CHOOSE(CONTROL!$C$9, $C$13, 100%, $E$13) + CHOOSE(CONTROL!$C$28, 0.0272, 0)</f>
        <v>45.962299999999999</v>
      </c>
      <c r="D702" s="4">
        <f>67.3017 * CHOOSE(CONTROL!$C$9, $C$13, 100%, $E$13) + CHOOSE(CONTROL!$C$28, 0.0021, 0)</f>
        <v>67.303799999999995</v>
      </c>
      <c r="E702" s="4">
        <f>318.145376534515 * CHOOSE(CONTROL!$C$9, $C$13, 100%, $E$13) + CHOOSE(CONTROL!$C$28, 0.0021, 0)</f>
        <v>318.14747653451496</v>
      </c>
    </row>
    <row r="703" spans="1:5" ht="15">
      <c r="A703" s="13">
        <v>62548</v>
      </c>
      <c r="B703" s="4">
        <f>49.0712 * CHOOSE(CONTROL!$C$9, $C$13, 100%, $E$13) + CHOOSE(CONTROL!$C$28, 0.0272, 0)</f>
        <v>49.098399999999998</v>
      </c>
      <c r="C703" s="4">
        <f>48.7079 * CHOOSE(CONTROL!$C$9, $C$13, 100%, $E$13) + CHOOSE(CONTROL!$C$28, 0.0272, 0)</f>
        <v>48.735100000000003</v>
      </c>
      <c r="D703" s="4">
        <f>70.7945 * CHOOSE(CONTROL!$C$9, $C$13, 100%, $E$13) + CHOOSE(CONTROL!$C$28, 0.0021, 0)</f>
        <v>70.796599999999998</v>
      </c>
      <c r="E703" s="4">
        <f>337.522557055767 * CHOOSE(CONTROL!$C$9, $C$13, 100%, $E$13) + CHOOSE(CONTROL!$C$28, 0.0021, 0)</f>
        <v>337.52465705576697</v>
      </c>
    </row>
    <row r="704" spans="1:5" ht="15">
      <c r="A704" s="13">
        <v>62578</v>
      </c>
      <c r="B704" s="4">
        <f>51.0413 * CHOOSE(CONTROL!$C$9, $C$13, 100%, $E$13) + CHOOSE(CONTROL!$C$28, 0.0272, 0)</f>
        <v>51.0685</v>
      </c>
      <c r="C704" s="4">
        <f>50.678 * CHOOSE(CONTROL!$C$9, $C$13, 100%, $E$13) + CHOOSE(CONTROL!$C$28, 0.0272, 0)</f>
        <v>50.705199999999998</v>
      </c>
      <c r="D704" s="4">
        <f>72.8065 * CHOOSE(CONTROL!$C$9, $C$13, 100%, $E$13) + CHOOSE(CONTROL!$C$28, 0.0021, 0)</f>
        <v>72.808599999999998</v>
      </c>
      <c r="E704" s="4">
        <f>351.290302051 * CHOOSE(CONTROL!$C$9, $C$13, 100%, $E$13) + CHOOSE(CONTROL!$C$28, 0.0021, 0)</f>
        <v>351.29240205100001</v>
      </c>
    </row>
    <row r="705" spans="1:5" ht="15">
      <c r="A705" s="13">
        <v>62609</v>
      </c>
      <c r="B705" s="4">
        <f>52.2449 * CHOOSE(CONTROL!$C$9, $C$13, 100%, $E$13) + CHOOSE(CONTROL!$C$28, 0.0272, 0)</f>
        <v>52.272100000000002</v>
      </c>
      <c r="C705" s="4">
        <f>51.8817 * CHOOSE(CONTROL!$C$9, $C$13, 100%, $E$13) + CHOOSE(CONTROL!$C$28, 0.0272, 0)</f>
        <v>51.908900000000003</v>
      </c>
      <c r="D705" s="4">
        <f>72.0115 * CHOOSE(CONTROL!$C$9, $C$13, 100%, $E$13) + CHOOSE(CONTROL!$C$28, 0.0021, 0)</f>
        <v>72.013599999999997</v>
      </c>
      <c r="E705" s="4">
        <f>359.702064276292 * CHOOSE(CONTROL!$C$9, $C$13, 100%, $E$13) + CHOOSE(CONTROL!$C$28, 0.0021, 0)</f>
        <v>359.70416427629198</v>
      </c>
    </row>
    <row r="706" spans="1:5" ht="15">
      <c r="A706" s="13">
        <v>62639</v>
      </c>
      <c r="B706" s="4">
        <f>52.4078 * CHOOSE(CONTROL!$C$9, $C$13, 100%, $E$13) + CHOOSE(CONTROL!$C$28, 0.0272, 0)</f>
        <v>52.435000000000002</v>
      </c>
      <c r="C706" s="4">
        <f>52.0445 * CHOOSE(CONTROL!$C$9, $C$13, 100%, $E$13) + CHOOSE(CONTROL!$C$28, 0.0272, 0)</f>
        <v>52.0717</v>
      </c>
      <c r="D706" s="4">
        <f>72.659 * CHOOSE(CONTROL!$C$9, $C$13, 100%, $E$13) + CHOOSE(CONTROL!$C$28, 0.0021, 0)</f>
        <v>72.661100000000005</v>
      </c>
      <c r="E706" s="4">
        <f>360.840210614904 * CHOOSE(CONTROL!$C$9, $C$13, 100%, $E$13) + CHOOSE(CONTROL!$C$28, 0.0021, 0)</f>
        <v>360.84231061490397</v>
      </c>
    </row>
    <row r="707" spans="1:5" ht="15">
      <c r="A707" s="13">
        <v>62670</v>
      </c>
      <c r="B707" s="4">
        <f>52.3914 * CHOOSE(CONTROL!$C$9, $C$13, 100%, $E$13) + CHOOSE(CONTROL!$C$28, 0.0272, 0)</f>
        <v>52.418599999999998</v>
      </c>
      <c r="C707" s="4">
        <f>52.0281 * CHOOSE(CONTROL!$C$9, $C$13, 100%, $E$13) + CHOOSE(CONTROL!$C$28, 0.0272, 0)</f>
        <v>52.055300000000003</v>
      </c>
      <c r="D707" s="4">
        <f>73.8273 * CHOOSE(CONTROL!$C$9, $C$13, 100%, $E$13) + CHOOSE(CONTROL!$C$28, 0.0021, 0)</f>
        <v>73.829399999999993</v>
      </c>
      <c r="E707" s="4">
        <f>360.725439555548 * CHOOSE(CONTROL!$C$9, $C$13, 100%, $E$13) + CHOOSE(CONTROL!$C$28, 0.0021, 0)</f>
        <v>360.72753955554799</v>
      </c>
    </row>
    <row r="708" spans="1:5" ht="15">
      <c r="A708" s="13">
        <v>62701</v>
      </c>
      <c r="B708" s="4">
        <f>53.6272 * CHOOSE(CONTROL!$C$9, $C$13, 100%, $E$13) + CHOOSE(CONTROL!$C$28, 0.0272, 0)</f>
        <v>53.654400000000003</v>
      </c>
      <c r="C708" s="4">
        <f>53.2639 * CHOOSE(CONTROL!$C$9, $C$13, 100%, $E$13) + CHOOSE(CONTROL!$C$28, 0.0272, 0)</f>
        <v>53.2911</v>
      </c>
      <c r="D708" s="4">
        <f>73.0557 * CHOOSE(CONTROL!$C$9, $C$13, 100%, $E$13) + CHOOSE(CONTROL!$C$28, 0.0021, 0)</f>
        <v>73.0578</v>
      </c>
      <c r="E708" s="4">
        <f>369.361961772079 * CHOOSE(CONTROL!$C$9, $C$13, 100%, $E$13) + CHOOSE(CONTROL!$C$28, 0.0021, 0)</f>
        <v>369.36406177207897</v>
      </c>
    </row>
    <row r="709" spans="1:5" ht="15">
      <c r="A709" s="13">
        <v>62731</v>
      </c>
      <c r="B709" s="4">
        <f>51.521 * CHOOSE(CONTROL!$C$9, $C$13, 100%, $E$13) + CHOOSE(CONTROL!$C$28, 0.0272, 0)</f>
        <v>51.548200000000001</v>
      </c>
      <c r="C709" s="4">
        <f>51.1577 * CHOOSE(CONTROL!$C$9, $C$13, 100%, $E$13) + CHOOSE(CONTROL!$C$28, 0.0272, 0)</f>
        <v>51.184899999999999</v>
      </c>
      <c r="D709" s="4">
        <f>72.6912 * CHOOSE(CONTROL!$C$9, $C$13, 100%, $E$13) + CHOOSE(CONTROL!$C$28, 0.0021, 0)</f>
        <v>72.693299999999994</v>
      </c>
      <c r="E709" s="4">
        <f>354.642573409686 * CHOOSE(CONTROL!$C$9, $C$13, 100%, $E$13) + CHOOSE(CONTROL!$C$28, 0.0021, 0)</f>
        <v>354.64467340968599</v>
      </c>
    </row>
    <row r="710" spans="1:5" ht="15">
      <c r="A710" s="13">
        <v>62762</v>
      </c>
      <c r="B710" s="4">
        <f>49.8348 * CHOOSE(CONTROL!$C$9, $C$13, 100%, $E$13) + CHOOSE(CONTROL!$C$28, 0.0272, 0)</f>
        <v>49.862000000000002</v>
      </c>
      <c r="C710" s="4">
        <f>49.4716 * CHOOSE(CONTROL!$C$9, $C$13, 100%, $E$13) + CHOOSE(CONTROL!$C$28, 0.0272, 0)</f>
        <v>49.498800000000003</v>
      </c>
      <c r="D710" s="4">
        <f>71.7151 * CHOOSE(CONTROL!$C$9, $C$13, 100%, $E$13) + CHOOSE(CONTROL!$C$28, 0.0021, 0)</f>
        <v>71.717200000000005</v>
      </c>
      <c r="E710" s="4">
        <f>342.859411315815 * CHOOSE(CONTROL!$C$9, $C$13, 100%, $E$13) + CHOOSE(CONTROL!$C$28, 0.0021, 0)</f>
        <v>342.86151131581499</v>
      </c>
    </row>
    <row r="711" spans="1:5" ht="15">
      <c r="A711" s="13">
        <v>62792</v>
      </c>
      <c r="B711" s="4">
        <f>48.7489 * CHOOSE(CONTROL!$C$9, $C$13, 100%, $E$13) + CHOOSE(CONTROL!$C$28, 0.0272, 0)</f>
        <v>48.7761</v>
      </c>
      <c r="C711" s="4">
        <f>48.3856 * CHOOSE(CONTROL!$C$9, $C$13, 100%, $E$13) + CHOOSE(CONTROL!$C$28, 0.0272, 0)</f>
        <v>48.412799999999997</v>
      </c>
      <c r="D711" s="4">
        <f>71.3795 * CHOOSE(CONTROL!$C$9, $C$13, 100%, $E$13) + CHOOSE(CONTROL!$C$28, 0.0021, 0)</f>
        <v>71.381599999999992</v>
      </c>
      <c r="E711" s="4">
        <f>335.270175015907 * CHOOSE(CONTROL!$C$9, $C$13, 100%, $E$13) + CHOOSE(CONTROL!$C$28, 0.0021, 0)</f>
        <v>335.27227501590698</v>
      </c>
    </row>
    <row r="712" spans="1:5" ht="15">
      <c r="A712" s="13">
        <v>62823</v>
      </c>
      <c r="B712" s="4">
        <f>47.9975 * CHOOSE(CONTROL!$C$9, $C$13, 100%, $E$13) + CHOOSE(CONTROL!$C$28, 0.0272, 0)</f>
        <v>48.024700000000003</v>
      </c>
      <c r="C712" s="4">
        <f>47.6342 * CHOOSE(CONTROL!$C$9, $C$13, 100%, $E$13) + CHOOSE(CONTROL!$C$28, 0.0272, 0)</f>
        <v>47.6614</v>
      </c>
      <c r="D712" s="4">
        <f>68.909 * CHOOSE(CONTROL!$C$9, $C$13, 100%, $E$13) + CHOOSE(CONTROL!$C$28, 0.0021, 0)</f>
        <v>68.911100000000005</v>
      </c>
      <c r="E712" s="4">
        <f>330.019399050376 * CHOOSE(CONTROL!$C$9, $C$13, 100%, $E$13) + CHOOSE(CONTROL!$C$28, 0.0021, 0)</f>
        <v>330.02149905037601</v>
      </c>
    </row>
    <row r="713" spans="1:5" ht="15">
      <c r="A713" s="13">
        <v>62854</v>
      </c>
      <c r="B713" s="4">
        <f>45.9418 * CHOOSE(CONTROL!$C$9, $C$13, 100%, $E$13) + CHOOSE(CONTROL!$C$28, 0.0272, 0)</f>
        <v>45.969000000000001</v>
      </c>
      <c r="C713" s="4">
        <f>45.5785 * CHOOSE(CONTROL!$C$9, $C$13, 100%, $E$13) + CHOOSE(CONTROL!$C$28, 0.0272, 0)</f>
        <v>45.605699999999999</v>
      </c>
      <c r="D713" s="4">
        <f>66.1874 * CHOOSE(CONTROL!$C$9, $C$13, 100%, $E$13) + CHOOSE(CONTROL!$C$28, 0.0021, 0)</f>
        <v>66.189499999999995</v>
      </c>
      <c r="E713" s="4">
        <f>316.272750075762 * CHOOSE(CONTROL!$C$9, $C$13, 100%, $E$13) + CHOOSE(CONTROL!$C$28, 0.0021, 0)</f>
        <v>316.274850075762</v>
      </c>
    </row>
    <row r="714" spans="1:5" ht="15">
      <c r="A714" s="13">
        <v>62883</v>
      </c>
      <c r="B714" s="4">
        <f>47.0143 * CHOOSE(CONTROL!$C$9, $C$13, 100%, $E$13) + CHOOSE(CONTROL!$C$28, 0.0272, 0)</f>
        <v>47.041499999999999</v>
      </c>
      <c r="C714" s="4">
        <f>46.651 * CHOOSE(CONTROL!$C$9, $C$13, 100%, $E$13) + CHOOSE(CONTROL!$C$28, 0.0272, 0)</f>
        <v>46.678200000000004</v>
      </c>
      <c r="D714" s="4">
        <f>68.4581 * CHOOSE(CONTROL!$C$9, $C$13, 100%, $E$13) + CHOOSE(CONTROL!$C$28, 0.0021, 0)</f>
        <v>68.4602</v>
      </c>
      <c r="E714" s="4">
        <f>323.782311564827 * CHOOSE(CONTROL!$C$9, $C$13, 100%, $E$13) + CHOOSE(CONTROL!$C$28, 0.0021, 0)</f>
        <v>323.784411564827</v>
      </c>
    </row>
    <row r="715" spans="1:5" ht="15">
      <c r="A715" s="13">
        <v>62914</v>
      </c>
      <c r="B715" s="4">
        <f>49.8307 * CHOOSE(CONTROL!$C$9, $C$13, 100%, $E$13) + CHOOSE(CONTROL!$C$28, 0.0272, 0)</f>
        <v>49.857900000000001</v>
      </c>
      <c r="C715" s="4">
        <f>49.4674 * CHOOSE(CONTROL!$C$9, $C$13, 100%, $E$13) + CHOOSE(CONTROL!$C$28, 0.0272, 0)</f>
        <v>49.494599999999998</v>
      </c>
      <c r="D715" s="4">
        <f>72.0126 * CHOOSE(CONTROL!$C$9, $C$13, 100%, $E$13) + CHOOSE(CONTROL!$C$28, 0.0021, 0)</f>
        <v>72.014700000000005</v>
      </c>
      <c r="E715" s="4">
        <f>343.502819117446 * CHOOSE(CONTROL!$C$9, $C$13, 100%, $E$13) + CHOOSE(CONTROL!$C$28, 0.0021, 0)</f>
        <v>343.50491911744598</v>
      </c>
    </row>
    <row r="716" spans="1:5" ht="15">
      <c r="A716" s="13">
        <v>62944</v>
      </c>
      <c r="B716" s="4">
        <f>51.8317 * CHOOSE(CONTROL!$C$9, $C$13, 100%, $E$13) + CHOOSE(CONTROL!$C$28, 0.0272, 0)</f>
        <v>51.858899999999998</v>
      </c>
      <c r="C716" s="4">
        <f>51.4684 * CHOOSE(CONTROL!$C$9, $C$13, 100%, $E$13) + CHOOSE(CONTROL!$C$28, 0.0272, 0)</f>
        <v>51.495600000000003</v>
      </c>
      <c r="D716" s="4">
        <f>74.0602 * CHOOSE(CONTROL!$C$9, $C$13, 100%, $E$13) + CHOOSE(CONTROL!$C$28, 0.0021, 0)</f>
        <v>74.062299999999993</v>
      </c>
      <c r="E716" s="4">
        <f>357.5145025439 * CHOOSE(CONTROL!$C$9, $C$13, 100%, $E$13) + CHOOSE(CONTROL!$C$28, 0.0021, 0)</f>
        <v>357.51660254389998</v>
      </c>
    </row>
    <row r="717" spans="1:5" ht="15">
      <c r="A717" s="13">
        <v>62975</v>
      </c>
      <c r="B717" s="4">
        <f>53.0543 * CHOOSE(CONTROL!$C$9, $C$13, 100%, $E$13) + CHOOSE(CONTROL!$C$28, 0.0272, 0)</f>
        <v>53.081499999999998</v>
      </c>
      <c r="C717" s="4">
        <f>52.6911 * CHOOSE(CONTROL!$C$9, $C$13, 100%, $E$13) + CHOOSE(CONTROL!$C$28, 0.0272, 0)</f>
        <v>52.718299999999999</v>
      </c>
      <c r="D717" s="4">
        <f>73.2511 * CHOOSE(CONTROL!$C$9, $C$13, 100%, $E$13) + CHOOSE(CONTROL!$C$28, 0.0021, 0)</f>
        <v>73.253199999999993</v>
      </c>
      <c r="E717" s="4">
        <f>366.07530530428 * CHOOSE(CONTROL!$C$9, $C$13, 100%, $E$13) + CHOOSE(CONTROL!$C$28, 0.0021, 0)</f>
        <v>366.07740530427998</v>
      </c>
    </row>
    <row r="718" spans="1:5" ht="15">
      <c r="A718" s="13">
        <v>63005</v>
      </c>
      <c r="B718" s="4">
        <f>53.2198 * CHOOSE(CONTROL!$C$9, $C$13, 100%, $E$13) + CHOOSE(CONTROL!$C$28, 0.0272, 0)</f>
        <v>53.247</v>
      </c>
      <c r="C718" s="4">
        <f>52.8565 * CHOOSE(CONTROL!$C$9, $C$13, 100%, $E$13) + CHOOSE(CONTROL!$C$28, 0.0272, 0)</f>
        <v>52.883699999999997</v>
      </c>
      <c r="D718" s="4">
        <f>73.91 * CHOOSE(CONTROL!$C$9, $C$13, 100%, $E$13) + CHOOSE(CONTROL!$C$28, 0.0021, 0)</f>
        <v>73.912099999999995</v>
      </c>
      <c r="E718" s="4">
        <f>367.233617445821 * CHOOSE(CONTROL!$C$9, $C$13, 100%, $E$13) + CHOOSE(CONTROL!$C$28, 0.0021, 0)</f>
        <v>367.23571744582097</v>
      </c>
    </row>
    <row r="719" spans="1:5" ht="15">
      <c r="A719" s="13">
        <v>63036</v>
      </c>
      <c r="B719" s="4">
        <f>53.2031 * CHOOSE(CONTROL!$C$9, $C$13, 100%, $E$13) + CHOOSE(CONTROL!$C$28, 0.0272, 0)</f>
        <v>53.2303</v>
      </c>
      <c r="C719" s="4">
        <f>52.8398 * CHOOSE(CONTROL!$C$9, $C$13, 100%, $E$13) + CHOOSE(CONTROL!$C$28, 0.0272, 0)</f>
        <v>52.866999999999997</v>
      </c>
      <c r="D719" s="4">
        <f>75.099 * CHOOSE(CONTROL!$C$9, $C$13, 100%, $E$13) + CHOOSE(CONTROL!$C$28, 0.0021, 0)</f>
        <v>75.101100000000002</v>
      </c>
      <c r="E719" s="4">
        <f>367.116812860119 * CHOOSE(CONTROL!$C$9, $C$13, 100%, $E$13) + CHOOSE(CONTROL!$C$28, 0.0021, 0)</f>
        <v>367.118912860119</v>
      </c>
    </row>
    <row r="720" spans="1:5" ht="15">
      <c r="A720" s="13">
        <v>63067</v>
      </c>
      <c r="B720" s="4">
        <f>54.4583 * CHOOSE(CONTROL!$C$9, $C$13, 100%, $E$13) + CHOOSE(CONTROL!$C$28, 0.0272, 0)</f>
        <v>54.485500000000002</v>
      </c>
      <c r="C720" s="4">
        <f>54.0951 * CHOOSE(CONTROL!$C$9, $C$13, 100%, $E$13) + CHOOSE(CONTROL!$C$28, 0.0272, 0)</f>
        <v>54.122300000000003</v>
      </c>
      <c r="D720" s="4">
        <f>74.3138 * CHOOSE(CONTROL!$C$9, $C$13, 100%, $E$13) + CHOOSE(CONTROL!$C$28, 0.0021, 0)</f>
        <v>74.315899999999999</v>
      </c>
      <c r="E720" s="4">
        <f>375.906357934164 * CHOOSE(CONTROL!$C$9, $C$13, 100%, $E$13) + CHOOSE(CONTROL!$C$28, 0.0021, 0)</f>
        <v>375.90845793416401</v>
      </c>
    </row>
    <row r="721" spans="1:5" ht="15">
      <c r="A721" s="13">
        <v>63097</v>
      </c>
      <c r="B721" s="4">
        <f>52.319 * CHOOSE(CONTROL!$C$9, $C$13, 100%, $E$13) + CHOOSE(CONTROL!$C$28, 0.0272, 0)</f>
        <v>52.346200000000003</v>
      </c>
      <c r="C721" s="4">
        <f>51.9557 * CHOOSE(CONTROL!$C$9, $C$13, 100%, $E$13) + CHOOSE(CONTROL!$C$28, 0.0272, 0)</f>
        <v>51.982900000000001</v>
      </c>
      <c r="D721" s="4">
        <f>73.9428 * CHOOSE(CONTROL!$C$9, $C$13, 100%, $E$13) + CHOOSE(CONTROL!$C$28, 0.0021, 0)</f>
        <v>73.944900000000004</v>
      </c>
      <c r="E721" s="4">
        <f>360.926169817935 * CHOOSE(CONTROL!$C$9, $C$13, 100%, $E$13) + CHOOSE(CONTROL!$C$28, 0.0021, 0)</f>
        <v>360.92826981793496</v>
      </c>
    </row>
    <row r="722" spans="1:5" ht="15">
      <c r="A722" s="13">
        <v>63128</v>
      </c>
      <c r="B722" s="4">
        <f>50.6063 * CHOOSE(CONTROL!$C$9, $C$13, 100%, $E$13) + CHOOSE(CONTROL!$C$28, 0.0272, 0)</f>
        <v>50.633499999999998</v>
      </c>
      <c r="C722" s="4">
        <f>50.2431 * CHOOSE(CONTROL!$C$9, $C$13, 100%, $E$13) + CHOOSE(CONTROL!$C$28, 0.0272, 0)</f>
        <v>50.270299999999999</v>
      </c>
      <c r="D722" s="4">
        <f>72.9495 * CHOOSE(CONTROL!$C$9, $C$13, 100%, $E$13) + CHOOSE(CONTROL!$C$28, 0.0021, 0)</f>
        <v>72.951599999999999</v>
      </c>
      <c r="E722" s="4">
        <f>348.934232352571 * CHOOSE(CONTROL!$C$9, $C$13, 100%, $E$13) + CHOOSE(CONTROL!$C$28, 0.0021, 0)</f>
        <v>348.93633235257096</v>
      </c>
    </row>
    <row r="723" spans="1:5" ht="15">
      <c r="A723" s="13">
        <v>63158</v>
      </c>
      <c r="B723" s="4">
        <f>49.5033 * CHOOSE(CONTROL!$C$9, $C$13, 100%, $E$13) + CHOOSE(CONTROL!$C$28, 0.0272, 0)</f>
        <v>49.530500000000004</v>
      </c>
      <c r="C723" s="4">
        <f>49.14 * CHOOSE(CONTROL!$C$9, $C$13, 100%, $E$13) + CHOOSE(CONTROL!$C$28, 0.0272, 0)</f>
        <v>49.167200000000001</v>
      </c>
      <c r="D723" s="4">
        <f>72.608 * CHOOSE(CONTROL!$C$9, $C$13, 100%, $E$13) + CHOOSE(CONTROL!$C$28, 0.0021, 0)</f>
        <v>72.610100000000003</v>
      </c>
      <c r="E723" s="4">
        <f>341.210529123052 * CHOOSE(CONTROL!$C$9, $C$13, 100%, $E$13) + CHOOSE(CONTROL!$C$28, 0.0021, 0)</f>
        <v>341.21262912305201</v>
      </c>
    </row>
    <row r="724" spans="1:5" ht="15">
      <c r="A724" s="13">
        <v>63189</v>
      </c>
      <c r="B724" s="4">
        <f>48.7401 * CHOOSE(CONTROL!$C$9, $C$13, 100%, $E$13) + CHOOSE(CONTROL!$C$28, 0.0272, 0)</f>
        <v>48.767299999999999</v>
      </c>
      <c r="C724" s="4">
        <f>48.3768 * CHOOSE(CONTROL!$C$9, $C$13, 100%, $E$13) + CHOOSE(CONTROL!$C$28, 0.0272, 0)</f>
        <v>48.404000000000003</v>
      </c>
      <c r="D724" s="4">
        <f>70.0938 * CHOOSE(CONTROL!$C$9, $C$13, 100%, $E$13) + CHOOSE(CONTROL!$C$28, 0.0021, 0)</f>
        <v>70.0959</v>
      </c>
      <c r="E724" s="4">
        <f>335.866719327204 * CHOOSE(CONTROL!$C$9, $C$13, 100%, $E$13) + CHOOSE(CONTROL!$C$28, 0.0021, 0)</f>
        <v>335.86881932720399</v>
      </c>
    </row>
    <row r="725" spans="1:5" ht="15">
      <c r="A725" s="13">
        <v>63220</v>
      </c>
      <c r="B725" s="4">
        <f>46.6521 * CHOOSE(CONTROL!$C$9, $C$13, 100%, $E$13) + CHOOSE(CONTROL!$C$28, 0.0272, 0)</f>
        <v>46.679299999999998</v>
      </c>
      <c r="C725" s="4">
        <f>46.2888 * CHOOSE(CONTROL!$C$9, $C$13, 100%, $E$13) + CHOOSE(CONTROL!$C$28, 0.0272, 0)</f>
        <v>46.316000000000003</v>
      </c>
      <c r="D725" s="4">
        <f>67.3241 * CHOOSE(CONTROL!$C$9, $C$13, 100%, $E$13) + CHOOSE(CONTROL!$C$28, 0.0021, 0)</f>
        <v>67.3262</v>
      </c>
      <c r="E725" s="4">
        <f>321.876505703 * CHOOSE(CONTROL!$C$9, $C$13, 100%, $E$13) + CHOOSE(CONTROL!$C$28, 0.0021, 0)</f>
        <v>321.87860570300001</v>
      </c>
    </row>
    <row r="726" spans="1:5" ht="15">
      <c r="A726" s="13">
        <v>63248</v>
      </c>
      <c r="B726" s="4">
        <f>47.7414 * CHOOSE(CONTROL!$C$9, $C$13, 100%, $E$13) + CHOOSE(CONTROL!$C$28, 0.0272, 0)</f>
        <v>47.768599999999999</v>
      </c>
      <c r="C726" s="4">
        <f>47.3781 * CHOOSE(CONTROL!$C$9, $C$13, 100%, $E$13) + CHOOSE(CONTROL!$C$28, 0.0272, 0)</f>
        <v>47.405300000000004</v>
      </c>
      <c r="D726" s="4">
        <f>69.6349 * CHOOSE(CONTROL!$C$9, $C$13, 100%, $E$13) + CHOOSE(CONTROL!$C$28, 0.0021, 0)</f>
        <v>69.637</v>
      </c>
      <c r="E726" s="4">
        <f>329.519122434549 * CHOOSE(CONTROL!$C$9, $C$13, 100%, $E$13) + CHOOSE(CONTROL!$C$28, 0.0021, 0)</f>
        <v>329.52122243454897</v>
      </c>
    </row>
    <row r="727" spans="1:5" ht="15">
      <c r="A727" s="13">
        <v>63279</v>
      </c>
      <c r="B727" s="4">
        <f>50.6021 * CHOOSE(CONTROL!$C$9, $C$13, 100%, $E$13) + CHOOSE(CONTROL!$C$28, 0.0272, 0)</f>
        <v>50.629300000000001</v>
      </c>
      <c r="C727" s="4">
        <f>50.2388 * CHOOSE(CONTROL!$C$9, $C$13, 100%, $E$13) + CHOOSE(CONTROL!$C$28, 0.0272, 0)</f>
        <v>50.265999999999998</v>
      </c>
      <c r="D727" s="4">
        <f>73.2523 * CHOOSE(CONTROL!$C$9, $C$13, 100%, $E$13) + CHOOSE(CONTROL!$C$28, 0.0021, 0)</f>
        <v>73.254400000000004</v>
      </c>
      <c r="E727" s="4">
        <f>349.589040124917 * CHOOSE(CONTROL!$C$9, $C$13, 100%, $E$13) + CHOOSE(CONTROL!$C$28, 0.0021, 0)</f>
        <v>349.59114012491699</v>
      </c>
    </row>
    <row r="728" spans="1:5" ht="15">
      <c r="A728" s="13">
        <v>63309</v>
      </c>
      <c r="B728" s="4">
        <f>52.6346 * CHOOSE(CONTROL!$C$9, $C$13, 100%, $E$13) + CHOOSE(CONTROL!$C$28, 0.0272, 0)</f>
        <v>52.661799999999999</v>
      </c>
      <c r="C728" s="4">
        <f>52.2713 * CHOOSE(CONTROL!$C$9, $C$13, 100%, $E$13) + CHOOSE(CONTROL!$C$28, 0.0272, 0)</f>
        <v>52.298499999999997</v>
      </c>
      <c r="D728" s="4">
        <f>75.336 * CHOOSE(CONTROL!$C$9, $C$13, 100%, $E$13) + CHOOSE(CONTROL!$C$28, 0.0021, 0)</f>
        <v>75.338099999999997</v>
      </c>
      <c r="E728" s="4">
        <f>363.848984110744 * CHOOSE(CONTROL!$C$9, $C$13, 100%, $E$13) + CHOOSE(CONTROL!$C$28, 0.0021, 0)</f>
        <v>363.85108411074401</v>
      </c>
    </row>
    <row r="729" spans="1:5" ht="15">
      <c r="A729" s="13">
        <v>63340</v>
      </c>
      <c r="B729" s="4">
        <f>53.8764 * CHOOSE(CONTROL!$C$9, $C$13, 100%, $E$13) + CHOOSE(CONTROL!$C$28, 0.0272, 0)</f>
        <v>53.903599999999997</v>
      </c>
      <c r="C729" s="4">
        <f>53.5132 * CHOOSE(CONTROL!$C$9, $C$13, 100%, $E$13) + CHOOSE(CONTROL!$C$28, 0.0272, 0)</f>
        <v>53.540399999999998</v>
      </c>
      <c r="D729" s="4">
        <f>74.5126 * CHOOSE(CONTROL!$C$9, $C$13, 100%, $E$13) + CHOOSE(CONTROL!$C$28, 0.0021, 0)</f>
        <v>74.514700000000005</v>
      </c>
      <c r="E729" s="4">
        <f>372.561468122924 * CHOOSE(CONTROL!$C$9, $C$13, 100%, $E$13) + CHOOSE(CONTROL!$C$28, 0.0021, 0)</f>
        <v>372.56356812292398</v>
      </c>
    </row>
    <row r="730" spans="1:5" ht="15">
      <c r="A730" s="13">
        <v>63370</v>
      </c>
      <c r="B730" s="4">
        <f>54.0445 * CHOOSE(CONTROL!$C$9, $C$13, 100%, $E$13) + CHOOSE(CONTROL!$C$28, 0.0272, 0)</f>
        <v>54.0717</v>
      </c>
      <c r="C730" s="4">
        <f>53.6812 * CHOOSE(CONTROL!$C$9, $C$13, 100%, $E$13) + CHOOSE(CONTROL!$C$28, 0.0272, 0)</f>
        <v>53.708399999999997</v>
      </c>
      <c r="D730" s="4">
        <f>75.1832 * CHOOSE(CONTROL!$C$9, $C$13, 100%, $E$13) + CHOOSE(CONTROL!$C$28, 0.0021, 0)</f>
        <v>75.185299999999998</v>
      </c>
      <c r="E730" s="4">
        <f>373.740303367324 * CHOOSE(CONTROL!$C$9, $C$13, 100%, $E$13) + CHOOSE(CONTROL!$C$28, 0.0021, 0)</f>
        <v>373.74240336732396</v>
      </c>
    </row>
    <row r="731" spans="1:5" ht="15">
      <c r="A731" s="13">
        <v>63401</v>
      </c>
      <c r="B731" s="4">
        <f>54.0275 * CHOOSE(CONTROL!$C$9, $C$13, 100%, $E$13) + CHOOSE(CONTROL!$C$28, 0.0272, 0)</f>
        <v>54.054700000000004</v>
      </c>
      <c r="C731" s="4">
        <f>53.6642 * CHOOSE(CONTROL!$C$9, $C$13, 100%, $E$13) + CHOOSE(CONTROL!$C$28, 0.0272, 0)</f>
        <v>53.691400000000002</v>
      </c>
      <c r="D731" s="4">
        <f>76.3931 * CHOOSE(CONTROL!$C$9, $C$13, 100%, $E$13) + CHOOSE(CONTROL!$C$28, 0.0021, 0)</f>
        <v>76.395200000000003</v>
      </c>
      <c r="E731" s="4">
        <f>373.621429225032 * CHOOSE(CONTROL!$C$9, $C$13, 100%, $E$13) + CHOOSE(CONTROL!$C$28, 0.0021, 0)</f>
        <v>373.62352922503197</v>
      </c>
    </row>
    <row r="732" spans="1:5" ht="15">
      <c r="A732" s="13">
        <v>63432</v>
      </c>
      <c r="B732" s="4">
        <f>55.3025 * CHOOSE(CONTROL!$C$9, $C$13, 100%, $E$13) + CHOOSE(CONTROL!$C$28, 0.0272, 0)</f>
        <v>55.329700000000003</v>
      </c>
      <c r="C732" s="4">
        <f>54.9393 * CHOOSE(CONTROL!$C$9, $C$13, 100%, $E$13) + CHOOSE(CONTROL!$C$28, 0.0272, 0)</f>
        <v>54.966500000000003</v>
      </c>
      <c r="D732" s="4">
        <f>75.5941 * CHOOSE(CONTROL!$C$9, $C$13, 100%, $E$13) + CHOOSE(CONTROL!$C$28, 0.0021, 0)</f>
        <v>75.596199999999996</v>
      </c>
      <c r="E732" s="4">
        <f>382.566708432535 * CHOOSE(CONTROL!$C$9, $C$13, 100%, $E$13) + CHOOSE(CONTROL!$C$28, 0.0021, 0)</f>
        <v>382.56880843253498</v>
      </c>
    </row>
    <row r="733" spans="1:5" ht="15">
      <c r="A733" s="13">
        <v>63462</v>
      </c>
      <c r="B733" s="4">
        <f>53.1295 * CHOOSE(CONTROL!$C$9, $C$13, 100%, $E$13) + CHOOSE(CONTROL!$C$28, 0.0272, 0)</f>
        <v>53.156700000000001</v>
      </c>
      <c r="C733" s="4">
        <f>52.7662 * CHOOSE(CONTROL!$C$9, $C$13, 100%, $E$13) + CHOOSE(CONTROL!$C$28, 0.0272, 0)</f>
        <v>52.793399999999998</v>
      </c>
      <c r="D733" s="4">
        <f>75.2165 * CHOOSE(CONTROL!$C$9, $C$13, 100%, $E$13) + CHOOSE(CONTROL!$C$28, 0.0021, 0)</f>
        <v>75.218599999999995</v>
      </c>
      <c r="E733" s="4">
        <f>367.321099683534 * CHOOSE(CONTROL!$C$9, $C$13, 100%, $E$13) + CHOOSE(CONTROL!$C$28, 0.0021, 0)</f>
        <v>367.32319968353397</v>
      </c>
    </row>
    <row r="734" spans="1:5" ht="15">
      <c r="A734" s="13">
        <v>63493</v>
      </c>
      <c r="B734" s="4">
        <f>51.39 * CHOOSE(CONTROL!$C$9, $C$13, 100%, $E$13) + CHOOSE(CONTROL!$C$28, 0.0272, 0)</f>
        <v>51.417200000000001</v>
      </c>
      <c r="C734" s="4">
        <f>51.0267 * CHOOSE(CONTROL!$C$9, $C$13, 100%, $E$13) + CHOOSE(CONTROL!$C$28, 0.0272, 0)</f>
        <v>51.053899999999999</v>
      </c>
      <c r="D734" s="4">
        <f>74.2056 * CHOOSE(CONTROL!$C$9, $C$13, 100%, $E$13) + CHOOSE(CONTROL!$C$28, 0.0021, 0)</f>
        <v>74.207700000000003</v>
      </c>
      <c r="E734" s="4">
        <f>355.116687741514 * CHOOSE(CONTROL!$C$9, $C$13, 100%, $E$13) + CHOOSE(CONTROL!$C$28, 0.0021, 0)</f>
        <v>355.11878774151398</v>
      </c>
    </row>
    <row r="735" spans="1:5" ht="15">
      <c r="A735" s="13">
        <v>63523</v>
      </c>
      <c r="B735" s="4">
        <f>50.2696 * CHOOSE(CONTROL!$C$9, $C$13, 100%, $E$13) + CHOOSE(CONTROL!$C$28, 0.0272, 0)</f>
        <v>50.296799999999998</v>
      </c>
      <c r="C735" s="4">
        <f>49.9063 * CHOOSE(CONTROL!$C$9, $C$13, 100%, $E$13) + CHOOSE(CONTROL!$C$28, 0.0272, 0)</f>
        <v>49.933500000000002</v>
      </c>
      <c r="D735" s="4">
        <f>73.8581 * CHOOSE(CONTROL!$C$9, $C$13, 100%, $E$13) + CHOOSE(CONTROL!$C$28, 0.0021, 0)</f>
        <v>73.860199999999992</v>
      </c>
      <c r="E735" s="4">
        <f>347.256135082429 * CHOOSE(CONTROL!$C$9, $C$13, 100%, $E$13) + CHOOSE(CONTROL!$C$28, 0.0021, 0)</f>
        <v>347.258235082429</v>
      </c>
    </row>
    <row r="736" spans="1:5" ht="15">
      <c r="A736" s="13">
        <v>63554</v>
      </c>
      <c r="B736" s="4">
        <f>49.4944 * CHOOSE(CONTROL!$C$9, $C$13, 100%, $E$13) + CHOOSE(CONTROL!$C$28, 0.0272, 0)</f>
        <v>49.521599999999999</v>
      </c>
      <c r="C736" s="4">
        <f>49.1311 * CHOOSE(CONTROL!$C$9, $C$13, 100%, $E$13) + CHOOSE(CONTROL!$C$28, 0.0272, 0)</f>
        <v>49.158300000000004</v>
      </c>
      <c r="D736" s="4">
        <f>71.2995 * CHOOSE(CONTROL!$C$9, $C$13, 100%, $E$13) + CHOOSE(CONTROL!$C$28, 0.0021, 0)</f>
        <v>71.301599999999993</v>
      </c>
      <c r="E736" s="4">
        <f>341.817643072551 * CHOOSE(CONTROL!$C$9, $C$13, 100%, $E$13) + CHOOSE(CONTROL!$C$28, 0.0021, 0)</f>
        <v>341.81974307255098</v>
      </c>
    </row>
    <row r="737" spans="1:5" ht="15">
      <c r="A737" s="13">
        <v>63585</v>
      </c>
      <c r="B737" s="4">
        <f>47.3735 * CHOOSE(CONTROL!$C$9, $C$13, 100%, $E$13) + CHOOSE(CONTROL!$C$28, 0.0272, 0)</f>
        <v>47.400700000000001</v>
      </c>
      <c r="C737" s="4">
        <f>47.0102 * CHOOSE(CONTROL!$C$9, $C$13, 100%, $E$13) + CHOOSE(CONTROL!$C$28, 0.0272, 0)</f>
        <v>47.037399999999998</v>
      </c>
      <c r="D737" s="4">
        <f>68.4809 * CHOOSE(CONTROL!$C$9, $C$13, 100%, $E$13) + CHOOSE(CONTROL!$C$28, 0.0021, 0)</f>
        <v>68.483000000000004</v>
      </c>
      <c r="E737" s="4">
        <f>327.579549293309 * CHOOSE(CONTROL!$C$9, $C$13, 100%, $E$13) + CHOOSE(CONTROL!$C$28, 0.0021, 0)</f>
        <v>327.581649293309</v>
      </c>
    </row>
    <row r="738" spans="1:5" ht="15">
      <c r="A738" s="13">
        <v>63613</v>
      </c>
      <c r="B738" s="4">
        <f>48.48 * CHOOSE(CONTROL!$C$9, $C$13, 100%, $E$13) + CHOOSE(CONTROL!$C$28, 0.0272, 0)</f>
        <v>48.507199999999997</v>
      </c>
      <c r="C738" s="4">
        <f>48.1167 * CHOOSE(CONTROL!$C$9, $C$13, 100%, $E$13) + CHOOSE(CONTROL!$C$28, 0.0272, 0)</f>
        <v>48.143900000000002</v>
      </c>
      <c r="D738" s="4">
        <f>70.8325 * CHOOSE(CONTROL!$C$9, $C$13, 100%, $E$13) + CHOOSE(CONTROL!$C$28, 0.0021, 0)</f>
        <v>70.834599999999995</v>
      </c>
      <c r="E738" s="4">
        <f>335.357578754871 * CHOOSE(CONTROL!$C$9, $C$13, 100%, $E$13) + CHOOSE(CONTROL!$C$28, 0.0021, 0)</f>
        <v>335.35967875487097</v>
      </c>
    </row>
    <row r="739" spans="1:5" ht="15">
      <c r="A739" s="13">
        <v>63644</v>
      </c>
      <c r="B739" s="4">
        <f>51.3856 * CHOOSE(CONTROL!$C$9, $C$13, 100%, $E$13) + CHOOSE(CONTROL!$C$28, 0.0272, 0)</f>
        <v>51.412799999999997</v>
      </c>
      <c r="C739" s="4">
        <f>51.0223 * CHOOSE(CONTROL!$C$9, $C$13, 100%, $E$13) + CHOOSE(CONTROL!$C$28, 0.0272, 0)</f>
        <v>51.049500000000002</v>
      </c>
      <c r="D739" s="4">
        <f>74.5138 * CHOOSE(CONTROL!$C$9, $C$13, 100%, $E$13) + CHOOSE(CONTROL!$C$28, 0.0021, 0)</f>
        <v>74.515900000000002</v>
      </c>
      <c r="E739" s="4">
        <f>355.78309747052 * CHOOSE(CONTROL!$C$9, $C$13, 100%, $E$13) + CHOOSE(CONTROL!$C$28, 0.0021, 0)</f>
        <v>355.78519747051996</v>
      </c>
    </row>
    <row r="740" spans="1:5" ht="15">
      <c r="A740" s="13">
        <v>63674</v>
      </c>
      <c r="B740" s="4">
        <f>53.4501 * CHOOSE(CONTROL!$C$9, $C$13, 100%, $E$13) + CHOOSE(CONTROL!$C$28, 0.0272, 0)</f>
        <v>53.4773</v>
      </c>
      <c r="C740" s="4">
        <f>53.0868 * CHOOSE(CONTROL!$C$9, $C$13, 100%, $E$13) + CHOOSE(CONTROL!$C$28, 0.0272, 0)</f>
        <v>53.113999999999997</v>
      </c>
      <c r="D740" s="4">
        <f>76.6343 * CHOOSE(CONTROL!$C$9, $C$13, 100%, $E$13) + CHOOSE(CONTROL!$C$28, 0.0021, 0)</f>
        <v>76.636399999999995</v>
      </c>
      <c r="E740" s="4">
        <f>370.295700723816 * CHOOSE(CONTROL!$C$9, $C$13, 100%, $E$13) + CHOOSE(CONTROL!$C$28, 0.0021, 0)</f>
        <v>370.29780072381601</v>
      </c>
    </row>
    <row r="741" spans="1:5" ht="15">
      <c r="A741" s="13">
        <v>63705</v>
      </c>
      <c r="B741" s="4">
        <f>54.7115 * CHOOSE(CONTROL!$C$9, $C$13, 100%, $E$13) + CHOOSE(CONTROL!$C$28, 0.0272, 0)</f>
        <v>54.738700000000001</v>
      </c>
      <c r="C741" s="4">
        <f>54.3482 * CHOOSE(CONTROL!$C$9, $C$13, 100%, $E$13) + CHOOSE(CONTROL!$C$28, 0.0272, 0)</f>
        <v>54.375399999999999</v>
      </c>
      <c r="D741" s="4">
        <f>75.7964 * CHOOSE(CONTROL!$C$9, $C$13, 100%, $E$13) + CHOOSE(CONTROL!$C$28, 0.0021, 0)</f>
        <v>75.798500000000004</v>
      </c>
      <c r="E741" s="4">
        <f>379.162553493023 * CHOOSE(CONTROL!$C$9, $C$13, 100%, $E$13) + CHOOSE(CONTROL!$C$28, 0.0021, 0)</f>
        <v>379.16465349302297</v>
      </c>
    </row>
    <row r="742" spans="1:5" ht="15">
      <c r="A742" s="13">
        <v>63735</v>
      </c>
      <c r="B742" s="4">
        <f>54.8822 * CHOOSE(CONTROL!$C$9, $C$13, 100%, $E$13) + CHOOSE(CONTROL!$C$28, 0.0272, 0)</f>
        <v>54.909399999999998</v>
      </c>
      <c r="C742" s="4">
        <f>54.5189 * CHOOSE(CONTROL!$C$9, $C$13, 100%, $E$13) + CHOOSE(CONTROL!$C$28, 0.0272, 0)</f>
        <v>54.546100000000003</v>
      </c>
      <c r="D742" s="4">
        <f>76.4788 * CHOOSE(CONTROL!$C$9, $C$13, 100%, $E$13) + CHOOSE(CONTROL!$C$28, 0.0021, 0)</f>
        <v>76.480900000000005</v>
      </c>
      <c r="E742" s="4">
        <f>380.362275470892 * CHOOSE(CONTROL!$C$9, $C$13, 100%, $E$13) + CHOOSE(CONTROL!$C$28, 0.0021, 0)</f>
        <v>380.36437547089196</v>
      </c>
    </row>
    <row r="743" spans="1:5" ht="15">
      <c r="A743" s="13">
        <v>63766</v>
      </c>
      <c r="B743" s="4">
        <f>54.8649 * CHOOSE(CONTROL!$C$9, $C$13, 100%, $E$13) + CHOOSE(CONTROL!$C$28, 0.0272, 0)</f>
        <v>54.892099999999999</v>
      </c>
      <c r="C743" s="4">
        <f>54.5017 * CHOOSE(CONTROL!$C$9, $C$13, 100%, $E$13) + CHOOSE(CONTROL!$C$28, 0.0272, 0)</f>
        <v>54.5289</v>
      </c>
      <c r="D743" s="4">
        <f>77.7102 * CHOOSE(CONTROL!$C$9, $C$13, 100%, $E$13) + CHOOSE(CONTROL!$C$28, 0.0021, 0)</f>
        <v>77.712299999999999</v>
      </c>
      <c r="E743" s="4">
        <f>380.241295103376 * CHOOSE(CONTROL!$C$9, $C$13, 100%, $E$13) + CHOOSE(CONTROL!$C$28, 0.0021, 0)</f>
        <v>380.24339510337597</v>
      </c>
    </row>
    <row r="744" spans="1:5" ht="15">
      <c r="A744" s="13">
        <v>63797</v>
      </c>
      <c r="B744" s="4">
        <f>56.16 * CHOOSE(CONTROL!$C$9, $C$13, 100%, $E$13) + CHOOSE(CONTROL!$C$28, 0.0272, 0)</f>
        <v>56.187199999999997</v>
      </c>
      <c r="C744" s="4">
        <f>55.7967 * CHOOSE(CONTROL!$C$9, $C$13, 100%, $E$13) + CHOOSE(CONTROL!$C$28, 0.0272, 0)</f>
        <v>55.823900000000002</v>
      </c>
      <c r="D744" s="4">
        <f>76.897 * CHOOSE(CONTROL!$C$9, $C$13, 100%, $E$13) + CHOOSE(CONTROL!$C$28, 0.0021, 0)</f>
        <v>76.899100000000004</v>
      </c>
      <c r="E744" s="4">
        <f>389.345067758969 * CHOOSE(CONTROL!$C$9, $C$13, 100%, $E$13) + CHOOSE(CONTROL!$C$28, 0.0021, 0)</f>
        <v>389.34716775896896</v>
      </c>
    </row>
    <row r="745" spans="1:5" ht="15">
      <c r="A745" s="13">
        <v>63827</v>
      </c>
      <c r="B745" s="4">
        <f>53.9528 * CHOOSE(CONTROL!$C$9, $C$13, 100%, $E$13) + CHOOSE(CONTROL!$C$28, 0.0272, 0)</f>
        <v>53.980000000000004</v>
      </c>
      <c r="C745" s="4">
        <f>53.5895 * CHOOSE(CONTROL!$C$9, $C$13, 100%, $E$13) + CHOOSE(CONTROL!$C$28, 0.0272, 0)</f>
        <v>53.616700000000002</v>
      </c>
      <c r="D745" s="4">
        <f>76.5128 * CHOOSE(CONTROL!$C$9, $C$13, 100%, $E$13) + CHOOSE(CONTROL!$C$28, 0.0021, 0)</f>
        <v>76.514899999999997</v>
      </c>
      <c r="E745" s="4">
        <f>373.829335625018 * CHOOSE(CONTROL!$C$9, $C$13, 100%, $E$13) + CHOOSE(CONTROL!$C$28, 0.0021, 0)</f>
        <v>373.831435625018</v>
      </c>
    </row>
    <row r="746" spans="1:5" ht="15">
      <c r="A746" s="13">
        <v>63858</v>
      </c>
      <c r="B746" s="4">
        <f>52.1859 * CHOOSE(CONTROL!$C$9, $C$13, 100%, $E$13) + CHOOSE(CONTROL!$C$28, 0.0272, 0)</f>
        <v>52.213099999999997</v>
      </c>
      <c r="C746" s="4">
        <f>51.8226 * CHOOSE(CONTROL!$C$9, $C$13, 100%, $E$13) + CHOOSE(CONTROL!$C$28, 0.0272, 0)</f>
        <v>51.849800000000002</v>
      </c>
      <c r="D746" s="4">
        <f>75.484 * CHOOSE(CONTROL!$C$9, $C$13, 100%, $E$13) + CHOOSE(CONTROL!$C$28, 0.0021, 0)</f>
        <v>75.486099999999993</v>
      </c>
      <c r="E746" s="4">
        <f>361.408684560023 * CHOOSE(CONTROL!$C$9, $C$13, 100%, $E$13) + CHOOSE(CONTROL!$C$28, 0.0021, 0)</f>
        <v>361.41078456002299</v>
      </c>
    </row>
    <row r="747" spans="1:5" ht="15">
      <c r="A747" s="13">
        <v>63888</v>
      </c>
      <c r="B747" s="4">
        <f>51.0479 * CHOOSE(CONTROL!$C$9, $C$13, 100%, $E$13) + CHOOSE(CONTROL!$C$28, 0.0272, 0)</f>
        <v>51.075099999999999</v>
      </c>
      <c r="C747" s="4">
        <f>50.6846 * CHOOSE(CONTROL!$C$9, $C$13, 100%, $E$13) + CHOOSE(CONTROL!$C$28, 0.0272, 0)</f>
        <v>50.711800000000004</v>
      </c>
      <c r="D747" s="4">
        <f>75.1303 * CHOOSE(CONTROL!$C$9, $C$13, 100%, $E$13) + CHOOSE(CONTROL!$C$28, 0.0021, 0)</f>
        <v>75.132400000000004</v>
      </c>
      <c r="E747" s="4">
        <f>353.408857758015 * CHOOSE(CONTROL!$C$9, $C$13, 100%, $E$13) + CHOOSE(CONTROL!$C$28, 0.0021, 0)</f>
        <v>353.410957758015</v>
      </c>
    </row>
    <row r="748" spans="1:5" ht="15">
      <c r="A748" s="13">
        <v>63919</v>
      </c>
      <c r="B748" s="4">
        <f>50.2605 * CHOOSE(CONTROL!$C$9, $C$13, 100%, $E$13) + CHOOSE(CONTROL!$C$28, 0.0272, 0)</f>
        <v>50.287700000000001</v>
      </c>
      <c r="C748" s="4">
        <f>49.8972 * CHOOSE(CONTROL!$C$9, $C$13, 100%, $E$13) + CHOOSE(CONTROL!$C$28, 0.0272, 0)</f>
        <v>49.924399999999999</v>
      </c>
      <c r="D748" s="4">
        <f>72.5265 * CHOOSE(CONTROL!$C$9, $C$13, 100%, $E$13) + CHOOSE(CONTROL!$C$28, 0.0021, 0)</f>
        <v>72.528599999999997</v>
      </c>
      <c r="E748" s="4">
        <f>347.874005944149 * CHOOSE(CONTROL!$C$9, $C$13, 100%, $E$13) + CHOOSE(CONTROL!$C$28, 0.0021, 0)</f>
        <v>347.876105944149</v>
      </c>
    </row>
    <row r="749" spans="1:5" ht="15">
      <c r="A749" s="13">
        <v>63950</v>
      </c>
      <c r="B749" s="4">
        <f>48.1063 * CHOOSE(CONTROL!$C$9, $C$13, 100%, $E$13) + CHOOSE(CONTROL!$C$28, 0.0272, 0)</f>
        <v>48.133499999999998</v>
      </c>
      <c r="C749" s="4">
        <f>47.743 * CHOOSE(CONTROL!$C$9, $C$13, 100%, $E$13) + CHOOSE(CONTROL!$C$28, 0.0272, 0)</f>
        <v>47.770200000000003</v>
      </c>
      <c r="D749" s="4">
        <f>69.6582 * CHOOSE(CONTROL!$C$9, $C$13, 100%, $E$13) + CHOOSE(CONTROL!$C$28, 0.0021, 0)</f>
        <v>69.660299999999992</v>
      </c>
      <c r="E749" s="4">
        <f>333.383640041819 * CHOOSE(CONTROL!$C$9, $C$13, 100%, $E$13) + CHOOSE(CONTROL!$C$28, 0.0021, 0)</f>
        <v>333.38574004181896</v>
      </c>
    </row>
    <row r="750" spans="1:5" ht="15">
      <c r="A750" s="13">
        <v>63978</v>
      </c>
      <c r="B750" s="4">
        <f>49.2302 * CHOOSE(CONTROL!$C$9, $C$13, 100%, $E$13) + CHOOSE(CONTROL!$C$28, 0.0272, 0)</f>
        <v>49.257400000000004</v>
      </c>
      <c r="C750" s="4">
        <f>48.8669 * CHOOSE(CONTROL!$C$9, $C$13, 100%, $E$13) + CHOOSE(CONTROL!$C$28, 0.0272, 0)</f>
        <v>48.894100000000002</v>
      </c>
      <c r="D750" s="4">
        <f>72.0513 * CHOOSE(CONTROL!$C$9, $C$13, 100%, $E$13) + CHOOSE(CONTROL!$C$28, 0.0021, 0)</f>
        <v>72.053399999999996</v>
      </c>
      <c r="E750" s="4">
        <f>341.299481491146 * CHOOSE(CONTROL!$C$9, $C$13, 100%, $E$13) + CHOOSE(CONTROL!$C$28, 0.0021, 0)</f>
        <v>341.30158149114601</v>
      </c>
    </row>
    <row r="751" spans="1:5" ht="15">
      <c r="A751" s="13">
        <v>64009</v>
      </c>
      <c r="B751" s="4">
        <f>52.1815 * CHOOSE(CONTROL!$C$9, $C$13, 100%, $E$13) + CHOOSE(CONTROL!$C$28, 0.0272, 0)</f>
        <v>52.2087</v>
      </c>
      <c r="C751" s="4">
        <f>51.8182 * CHOOSE(CONTROL!$C$9, $C$13, 100%, $E$13) + CHOOSE(CONTROL!$C$28, 0.0272, 0)</f>
        <v>51.845399999999998</v>
      </c>
      <c r="D751" s="4">
        <f>75.7976 * CHOOSE(CONTROL!$C$9, $C$13, 100%, $E$13) + CHOOSE(CONTROL!$C$28, 0.0021, 0)</f>
        <v>75.799700000000001</v>
      </c>
      <c r="E751" s="4">
        <f>362.086901810442 * CHOOSE(CONTROL!$C$9, $C$13, 100%, $E$13) + CHOOSE(CONTROL!$C$28, 0.0021, 0)</f>
        <v>362.08900181044197</v>
      </c>
    </row>
    <row r="752" spans="1:5" ht="15">
      <c r="A752" s="13">
        <v>64039</v>
      </c>
      <c r="B752" s="4">
        <f>54.2785 * CHOOSE(CONTROL!$C$9, $C$13, 100%, $E$13) + CHOOSE(CONTROL!$C$28, 0.0272, 0)</f>
        <v>54.305700000000002</v>
      </c>
      <c r="C752" s="4">
        <f>53.9152 * CHOOSE(CONTROL!$C$9, $C$13, 100%, $E$13) + CHOOSE(CONTROL!$C$28, 0.0272, 0)</f>
        <v>53.942399999999999</v>
      </c>
      <c r="D752" s="4">
        <f>77.9556 * CHOOSE(CONTROL!$C$9, $C$13, 100%, $E$13) + CHOOSE(CONTROL!$C$28, 0.0021, 0)</f>
        <v>77.957700000000003</v>
      </c>
      <c r="E752" s="4">
        <f>376.856640976102 * CHOOSE(CONTROL!$C$9, $C$13, 100%, $E$13) + CHOOSE(CONTROL!$C$28, 0.0021, 0)</f>
        <v>376.85874097610201</v>
      </c>
    </row>
    <row r="753" spans="1:5" ht="15">
      <c r="A753" s="13">
        <v>64070</v>
      </c>
      <c r="B753" s="4">
        <f>55.5597 * CHOOSE(CONTROL!$C$9, $C$13, 100%, $E$13) + CHOOSE(CONTROL!$C$28, 0.0272, 0)</f>
        <v>55.5869</v>
      </c>
      <c r="C753" s="4">
        <f>55.1964 * CHOOSE(CONTROL!$C$9, $C$13, 100%, $E$13) + CHOOSE(CONTROL!$C$28, 0.0272, 0)</f>
        <v>55.223599999999998</v>
      </c>
      <c r="D753" s="4">
        <f>77.1029 * CHOOSE(CONTROL!$C$9, $C$13, 100%, $E$13) + CHOOSE(CONTROL!$C$28, 0.0021, 0)</f>
        <v>77.105000000000004</v>
      </c>
      <c r="E753" s="4">
        <f>385.880597625076 * CHOOSE(CONTROL!$C$9, $C$13, 100%, $E$13) + CHOOSE(CONTROL!$C$28, 0.0021, 0)</f>
        <v>385.88269762507599</v>
      </c>
    </row>
    <row r="754" spans="1:5" ht="15">
      <c r="A754" s="13">
        <v>64100</v>
      </c>
      <c r="B754" s="4">
        <f>55.733 * CHOOSE(CONTROL!$C$9, $C$13, 100%, $E$13) + CHOOSE(CONTROL!$C$28, 0.0272, 0)</f>
        <v>55.760199999999998</v>
      </c>
      <c r="C754" s="4">
        <f>55.3697 * CHOOSE(CONTROL!$C$9, $C$13, 100%, $E$13) + CHOOSE(CONTROL!$C$28, 0.0272, 0)</f>
        <v>55.396900000000002</v>
      </c>
      <c r="D754" s="4">
        <f>77.7973 * CHOOSE(CONTROL!$C$9, $C$13, 100%, $E$13) + CHOOSE(CONTROL!$C$28, 0.0021, 0)</f>
        <v>77.799400000000006</v>
      </c>
      <c r="E754" s="4">
        <f>387.101576409871 * CHOOSE(CONTROL!$C$9, $C$13, 100%, $E$13) + CHOOSE(CONTROL!$C$28, 0.0021, 0)</f>
        <v>387.10367640987096</v>
      </c>
    </row>
    <row r="755" spans="1:5" ht="15">
      <c r="A755" s="13">
        <v>64131</v>
      </c>
      <c r="B755" s="4">
        <f>55.7155 * CHOOSE(CONTROL!$C$9, $C$13, 100%, $E$13) + CHOOSE(CONTROL!$C$28, 0.0272, 0)</f>
        <v>55.742699999999999</v>
      </c>
      <c r="C755" s="4">
        <f>55.3522 * CHOOSE(CONTROL!$C$9, $C$13, 100%, $E$13) + CHOOSE(CONTROL!$C$28, 0.0272, 0)</f>
        <v>55.379400000000004</v>
      </c>
      <c r="D755" s="4">
        <f>79.0504 * CHOOSE(CONTROL!$C$9, $C$13, 100%, $E$13) + CHOOSE(CONTROL!$C$28, 0.0021, 0)</f>
        <v>79.052499999999995</v>
      </c>
      <c r="E755" s="4">
        <f>386.9784524988 * CHOOSE(CONTROL!$C$9, $C$13, 100%, $E$13) + CHOOSE(CONTROL!$C$28, 0.0021, 0)</f>
        <v>386.98055249879997</v>
      </c>
    </row>
    <row r="756" spans="1:5" ht="15">
      <c r="A756" s="13">
        <v>64162</v>
      </c>
      <c r="B756" s="4">
        <f>57.031 * CHOOSE(CONTROL!$C$9, $C$13, 100%, $E$13) + CHOOSE(CONTROL!$C$28, 0.0272, 0)</f>
        <v>57.058199999999999</v>
      </c>
      <c r="C756" s="4">
        <f>56.6677 * CHOOSE(CONTROL!$C$9, $C$13, 100%, $E$13) + CHOOSE(CONTROL!$C$28, 0.0272, 0)</f>
        <v>56.694900000000004</v>
      </c>
      <c r="D756" s="4">
        <f>78.2229 * CHOOSE(CONTROL!$C$9, $C$13, 100%, $E$13) + CHOOSE(CONTROL!$C$28, 0.0021, 0)</f>
        <v>78.224999999999994</v>
      </c>
      <c r="E756" s="4">
        <f>396.243526806956 * CHOOSE(CONTROL!$C$9, $C$13, 100%, $E$13) + CHOOSE(CONTROL!$C$28, 0.0021, 0)</f>
        <v>396.24562680695601</v>
      </c>
    </row>
    <row r="757" spans="1:5" ht="15">
      <c r="A757" s="13">
        <v>64192</v>
      </c>
      <c r="B757" s="4">
        <f>54.789 * CHOOSE(CONTROL!$C$9, $C$13, 100%, $E$13) + CHOOSE(CONTROL!$C$28, 0.0272, 0)</f>
        <v>54.816200000000002</v>
      </c>
      <c r="C757" s="4">
        <f>54.4258 * CHOOSE(CONTROL!$C$9, $C$13, 100%, $E$13) + CHOOSE(CONTROL!$C$28, 0.0272, 0)</f>
        <v>54.453000000000003</v>
      </c>
      <c r="D757" s="4">
        <f>77.8319 * CHOOSE(CONTROL!$C$9, $C$13, 100%, $E$13) + CHOOSE(CONTROL!$C$28, 0.0021, 0)</f>
        <v>77.834000000000003</v>
      </c>
      <c r="E757" s="4">
        <f>380.452885211992 * CHOOSE(CONTROL!$C$9, $C$13, 100%, $E$13) + CHOOSE(CONTROL!$C$28, 0.0021, 0)</f>
        <v>380.45498521199198</v>
      </c>
    </row>
    <row r="758" spans="1:5" ht="15">
      <c r="A758" s="13">
        <v>64223</v>
      </c>
      <c r="B758" s="4">
        <f>52.9944 * CHOOSE(CONTROL!$C$9, $C$13, 100%, $E$13) + CHOOSE(CONTROL!$C$28, 0.0272, 0)</f>
        <v>53.021599999999999</v>
      </c>
      <c r="C758" s="4">
        <f>52.6311 * CHOOSE(CONTROL!$C$9, $C$13, 100%, $E$13) + CHOOSE(CONTROL!$C$28, 0.0272, 0)</f>
        <v>52.658300000000004</v>
      </c>
      <c r="D758" s="4">
        <f>76.785 * CHOOSE(CONTROL!$C$9, $C$13, 100%, $E$13) + CHOOSE(CONTROL!$C$28, 0.0021, 0)</f>
        <v>76.787099999999995</v>
      </c>
      <c r="E758" s="4">
        <f>367.812163675283 * CHOOSE(CONTROL!$C$9, $C$13, 100%, $E$13) + CHOOSE(CONTROL!$C$28, 0.0021, 0)</f>
        <v>367.81426367528297</v>
      </c>
    </row>
    <row r="759" spans="1:5" ht="15">
      <c r="A759" s="13">
        <v>64253</v>
      </c>
      <c r="B759" s="4">
        <f>51.8384 * CHOOSE(CONTROL!$C$9, $C$13, 100%, $E$13) + CHOOSE(CONTROL!$C$28, 0.0272, 0)</f>
        <v>51.865600000000001</v>
      </c>
      <c r="C759" s="4">
        <f>51.4752 * CHOOSE(CONTROL!$C$9, $C$13, 100%, $E$13) + CHOOSE(CONTROL!$C$28, 0.0272, 0)</f>
        <v>51.502400000000002</v>
      </c>
      <c r="D759" s="4">
        <f>76.425 * CHOOSE(CONTROL!$C$9, $C$13, 100%, $E$13) + CHOOSE(CONTROL!$C$28, 0.0021, 0)</f>
        <v>76.427099999999996</v>
      </c>
      <c r="E759" s="4">
        <f>359.670595055657 * CHOOSE(CONTROL!$C$9, $C$13, 100%, $E$13) + CHOOSE(CONTROL!$C$28, 0.0021, 0)</f>
        <v>359.67269505565696</v>
      </c>
    </row>
    <row r="760" spans="1:5" ht="15">
      <c r="A760" s="13">
        <v>64284</v>
      </c>
      <c r="B760" s="4">
        <f>51.0387 * CHOOSE(CONTROL!$C$9, $C$13, 100%, $E$13) + CHOOSE(CONTROL!$C$28, 0.0272, 0)</f>
        <v>51.065899999999999</v>
      </c>
      <c r="C760" s="4">
        <f>50.6754 * CHOOSE(CONTROL!$C$9, $C$13, 100%, $E$13) + CHOOSE(CONTROL!$C$28, 0.0272, 0)</f>
        <v>50.702600000000004</v>
      </c>
      <c r="D760" s="4">
        <f>73.7752 * CHOOSE(CONTROL!$C$9, $C$13, 100%, $E$13) + CHOOSE(CONTROL!$C$28, 0.0021, 0)</f>
        <v>73.777299999999997</v>
      </c>
      <c r="E760" s="4">
        <f>354.037676124121 * CHOOSE(CONTROL!$C$9, $C$13, 100%, $E$13) + CHOOSE(CONTROL!$C$28, 0.0021, 0)</f>
        <v>354.03977612412098</v>
      </c>
    </row>
    <row r="761" spans="1:5" ht="15">
      <c r="A761" s="13">
        <v>64315</v>
      </c>
      <c r="B761" s="4">
        <f>48.8506 * CHOOSE(CONTROL!$C$9, $C$13, 100%, $E$13) + CHOOSE(CONTROL!$C$28, 0.0272, 0)</f>
        <v>48.877800000000001</v>
      </c>
      <c r="C761" s="4">
        <f>48.4873 * CHOOSE(CONTROL!$C$9, $C$13, 100%, $E$13) + CHOOSE(CONTROL!$C$28, 0.0272, 0)</f>
        <v>48.514499999999998</v>
      </c>
      <c r="D761" s="4">
        <f>70.8562 * CHOOSE(CONTROL!$C$9, $C$13, 100%, $E$13) + CHOOSE(CONTROL!$C$28, 0.0021, 0)</f>
        <v>70.8583</v>
      </c>
      <c r="E761" s="4">
        <f>339.290568313275 * CHOOSE(CONTROL!$C$9, $C$13, 100%, $E$13) + CHOOSE(CONTROL!$C$28, 0.0021, 0)</f>
        <v>339.29266831327499</v>
      </c>
    </row>
    <row r="762" spans="1:5" ht="15">
      <c r="A762" s="13">
        <v>64344</v>
      </c>
      <c r="B762" s="4">
        <f>49.9921 * CHOOSE(CONTROL!$C$9, $C$13, 100%, $E$13) + CHOOSE(CONTROL!$C$28, 0.0272, 0)</f>
        <v>50.019300000000001</v>
      </c>
      <c r="C762" s="4">
        <f>49.6289 * CHOOSE(CONTROL!$C$9, $C$13, 100%, $E$13) + CHOOSE(CONTROL!$C$28, 0.0272, 0)</f>
        <v>49.656100000000002</v>
      </c>
      <c r="D762" s="4">
        <f>73.2916 * CHOOSE(CONTROL!$C$9, $C$13, 100%, $E$13) + CHOOSE(CONTROL!$C$28, 0.0021, 0)</f>
        <v>73.293700000000001</v>
      </c>
      <c r="E762" s="4">
        <f>347.346663518436 * CHOOSE(CONTROL!$C$9, $C$13, 100%, $E$13) + CHOOSE(CONTROL!$C$28, 0.0021, 0)</f>
        <v>347.34876351843599</v>
      </c>
    </row>
    <row r="763" spans="1:5" ht="15">
      <c r="A763" s="13">
        <v>64375</v>
      </c>
      <c r="B763" s="4">
        <f>52.9899 * CHOOSE(CONTROL!$C$9, $C$13, 100%, $E$13) + CHOOSE(CONTROL!$C$28, 0.0272, 0)</f>
        <v>53.017099999999999</v>
      </c>
      <c r="C763" s="4">
        <f>52.6266 * CHOOSE(CONTROL!$C$9, $C$13, 100%, $E$13) + CHOOSE(CONTROL!$C$28, 0.0272, 0)</f>
        <v>52.653800000000004</v>
      </c>
      <c r="D763" s="4">
        <f>77.1041 * CHOOSE(CONTROL!$C$9, $C$13, 100%, $E$13) + CHOOSE(CONTROL!$C$28, 0.0021, 0)</f>
        <v>77.106200000000001</v>
      </c>
      <c r="E763" s="4">
        <f>368.502397654088 * CHOOSE(CONTROL!$C$9, $C$13, 100%, $E$13) + CHOOSE(CONTROL!$C$28, 0.0021, 0)</f>
        <v>368.50449765408797</v>
      </c>
    </row>
    <row r="764" spans="1:5" ht="15">
      <c r="A764" s="13">
        <v>64405</v>
      </c>
      <c r="B764" s="4">
        <f>55.1198 * CHOOSE(CONTROL!$C$9, $C$13, 100%, $E$13) + CHOOSE(CONTROL!$C$28, 0.0272, 0)</f>
        <v>55.146999999999998</v>
      </c>
      <c r="C764" s="4">
        <f>54.7565 * CHOOSE(CONTROL!$C$9, $C$13, 100%, $E$13) + CHOOSE(CONTROL!$C$28, 0.0272, 0)</f>
        <v>54.783700000000003</v>
      </c>
      <c r="D764" s="4">
        <f>79.3002 * CHOOSE(CONTROL!$C$9, $C$13, 100%, $E$13) + CHOOSE(CONTROL!$C$28, 0.0021, 0)</f>
        <v>79.302300000000002</v>
      </c>
      <c r="E764" s="4">
        <f>383.533828694696 * CHOOSE(CONTROL!$C$9, $C$13, 100%, $E$13) + CHOOSE(CONTROL!$C$28, 0.0021, 0)</f>
        <v>383.535928694696</v>
      </c>
    </row>
    <row r="765" spans="1:5" ht="15">
      <c r="A765" s="13">
        <v>64436</v>
      </c>
      <c r="B765" s="4">
        <f>56.4212 * CHOOSE(CONTROL!$C$9, $C$13, 100%, $E$13) + CHOOSE(CONTROL!$C$28, 0.0272, 0)</f>
        <v>56.448399999999999</v>
      </c>
      <c r="C765" s="4">
        <f>56.0579 * CHOOSE(CONTROL!$C$9, $C$13, 100%, $E$13) + CHOOSE(CONTROL!$C$28, 0.0272, 0)</f>
        <v>56.085099999999997</v>
      </c>
      <c r="D765" s="4">
        <f>78.4324 * CHOOSE(CONTROL!$C$9, $C$13, 100%, $E$13) + CHOOSE(CONTROL!$C$28, 0.0021, 0)</f>
        <v>78.4345</v>
      </c>
      <c r="E765" s="4">
        <f>392.717672807385 * CHOOSE(CONTROL!$C$9, $C$13, 100%, $E$13) + CHOOSE(CONTROL!$C$28, 0.0021, 0)</f>
        <v>392.71977280738497</v>
      </c>
    </row>
    <row r="766" spans="1:5" ht="15">
      <c r="A766" s="13">
        <v>64466</v>
      </c>
      <c r="B766" s="4">
        <f>56.5972 * CHOOSE(CONTROL!$C$9, $C$13, 100%, $E$13) + CHOOSE(CONTROL!$C$28, 0.0272, 0)</f>
        <v>56.624400000000001</v>
      </c>
      <c r="C766" s="4">
        <f>56.234 * CHOOSE(CONTROL!$C$9, $C$13, 100%, $E$13) + CHOOSE(CONTROL!$C$28, 0.0272, 0)</f>
        <v>56.261200000000002</v>
      </c>
      <c r="D766" s="4">
        <f>79.1392 * CHOOSE(CONTROL!$C$9, $C$13, 100%, $E$13) + CHOOSE(CONTROL!$C$28, 0.0021, 0)</f>
        <v>79.141300000000001</v>
      </c>
      <c r="E766" s="4">
        <f>393.960285029568 * CHOOSE(CONTROL!$C$9, $C$13, 100%, $E$13) + CHOOSE(CONTROL!$C$28, 0.0021, 0)</f>
        <v>393.962385029568</v>
      </c>
    </row>
    <row r="767" spans="1:5" ht="15">
      <c r="A767" s="13">
        <v>64497</v>
      </c>
      <c r="B767" s="4">
        <f>56.5795 * CHOOSE(CONTROL!$C$9, $C$13, 100%, $E$13) + CHOOSE(CONTROL!$C$28, 0.0272, 0)</f>
        <v>56.606700000000004</v>
      </c>
      <c r="C767" s="4">
        <f>56.2162 * CHOOSE(CONTROL!$C$9, $C$13, 100%, $E$13) + CHOOSE(CONTROL!$C$28, 0.0272, 0)</f>
        <v>56.243400000000001</v>
      </c>
      <c r="D767" s="4">
        <f>80.4144 * CHOOSE(CONTROL!$C$9, $C$13, 100%, $E$13) + CHOOSE(CONTROL!$C$28, 0.0021, 0)</f>
        <v>80.416499999999999</v>
      </c>
      <c r="E767" s="4">
        <f>393.834979595398 * CHOOSE(CONTROL!$C$9, $C$13, 100%, $E$13) + CHOOSE(CONTROL!$C$28, 0.0021, 0)</f>
        <v>393.837079595398</v>
      </c>
    </row>
    <row r="768" spans="1:5" ht="15">
      <c r="A768" s="13">
        <v>64528</v>
      </c>
      <c r="B768" s="4">
        <f>57.9156 * CHOOSE(CONTROL!$C$9, $C$13, 100%, $E$13) + CHOOSE(CONTROL!$C$28, 0.0272, 0)</f>
        <v>57.942799999999998</v>
      </c>
      <c r="C768" s="4">
        <f>57.5523 * CHOOSE(CONTROL!$C$9, $C$13, 100%, $E$13) + CHOOSE(CONTROL!$C$28, 0.0272, 0)</f>
        <v>57.579500000000003</v>
      </c>
      <c r="D768" s="4">
        <f>79.5722 * CHOOSE(CONTROL!$C$9, $C$13, 100%, $E$13) + CHOOSE(CONTROL!$C$28, 0.0021, 0)</f>
        <v>79.574299999999994</v>
      </c>
      <c r="E768" s="4">
        <f>403.264213516669 * CHOOSE(CONTROL!$C$9, $C$13, 100%, $E$13) + CHOOSE(CONTROL!$C$28, 0.0021, 0)</f>
        <v>403.26631351666896</v>
      </c>
    </row>
    <row r="769" spans="1:5" ht="15">
      <c r="A769" s="13">
        <v>64558</v>
      </c>
      <c r="B769" s="4">
        <f>55.6384 * CHOOSE(CONTROL!$C$9, $C$13, 100%, $E$13) + CHOOSE(CONTROL!$C$28, 0.0272, 0)</f>
        <v>55.665599999999998</v>
      </c>
      <c r="C769" s="4">
        <f>55.2752 * CHOOSE(CONTROL!$C$9, $C$13, 100%, $E$13) + CHOOSE(CONTROL!$C$28, 0.0272, 0)</f>
        <v>55.302399999999999</v>
      </c>
      <c r="D769" s="4">
        <f>79.1743 * CHOOSE(CONTROL!$C$9, $C$13, 100%, $E$13) + CHOOSE(CONTROL!$C$28, 0.0021, 0)</f>
        <v>79.176400000000001</v>
      </c>
      <c r="E769" s="4">
        <f>387.193791584403 * CHOOSE(CONTROL!$C$9, $C$13, 100%, $E$13) + CHOOSE(CONTROL!$C$28, 0.0021, 0)</f>
        <v>387.195891584403</v>
      </c>
    </row>
    <row r="770" spans="1:5" ht="15">
      <c r="A770" s="13">
        <v>64589</v>
      </c>
      <c r="B770" s="4">
        <f>53.8155 * CHOOSE(CONTROL!$C$9, $C$13, 100%, $E$13) + CHOOSE(CONTROL!$C$28, 0.0272, 0)</f>
        <v>53.842700000000001</v>
      </c>
      <c r="C770" s="4">
        <f>53.4522 * CHOOSE(CONTROL!$C$9, $C$13, 100%, $E$13) + CHOOSE(CONTROL!$C$28, 0.0272, 0)</f>
        <v>53.479399999999998</v>
      </c>
      <c r="D770" s="4">
        <f>78.1089 * CHOOSE(CONTROL!$C$9, $C$13, 100%, $E$13) + CHOOSE(CONTROL!$C$28, 0.0021, 0)</f>
        <v>78.111000000000004</v>
      </c>
      <c r="E770" s="4">
        <f>374.32910034298 * CHOOSE(CONTROL!$C$9, $C$13, 100%, $E$13) + CHOOSE(CONTROL!$C$28, 0.0021, 0)</f>
        <v>374.33120034297997</v>
      </c>
    </row>
    <row r="771" spans="1:5" ht="15">
      <c r="A771" s="13">
        <v>64619</v>
      </c>
      <c r="B771" s="4">
        <f>52.6414 * CHOOSE(CONTROL!$C$9, $C$13, 100%, $E$13) + CHOOSE(CONTROL!$C$28, 0.0272, 0)</f>
        <v>52.668599999999998</v>
      </c>
      <c r="C771" s="4">
        <f>52.2781 * CHOOSE(CONTROL!$C$9, $C$13, 100%, $E$13) + CHOOSE(CONTROL!$C$28, 0.0272, 0)</f>
        <v>52.305300000000003</v>
      </c>
      <c r="D771" s="4">
        <f>77.7426 * CHOOSE(CONTROL!$C$9, $C$13, 100%, $E$13) + CHOOSE(CONTROL!$C$28, 0.0021, 0)</f>
        <v>77.744699999999995</v>
      </c>
      <c r="E771" s="4">
        <f>366.043278508508 * CHOOSE(CONTROL!$C$9, $C$13, 100%, $E$13) + CHOOSE(CONTROL!$C$28, 0.0021, 0)</f>
        <v>366.04537850850801</v>
      </c>
    </row>
    <row r="772" spans="1:5" ht="15">
      <c r="A772" s="13">
        <v>64650</v>
      </c>
      <c r="B772" s="4">
        <f>51.8291 * CHOOSE(CONTROL!$C$9, $C$13, 100%, $E$13) + CHOOSE(CONTROL!$C$28, 0.0272, 0)</f>
        <v>51.856299999999997</v>
      </c>
      <c r="C772" s="4">
        <f>51.4658 * CHOOSE(CONTROL!$C$9, $C$13, 100%, $E$13) + CHOOSE(CONTROL!$C$28, 0.0272, 0)</f>
        <v>51.493000000000002</v>
      </c>
      <c r="D772" s="4">
        <f>75.046 * CHOOSE(CONTROL!$C$9, $C$13, 100%, $E$13) + CHOOSE(CONTROL!$C$28, 0.0021, 0)</f>
        <v>75.048100000000005</v>
      </c>
      <c r="E772" s="4">
        <f>360.310554895244 * CHOOSE(CONTROL!$C$9, $C$13, 100%, $E$13) + CHOOSE(CONTROL!$C$28, 0.0021, 0)</f>
        <v>360.31265489524401</v>
      </c>
    </row>
    <row r="773" spans="1:5" ht="15">
      <c r="A773" s="13">
        <v>64681</v>
      </c>
      <c r="B773" s="4">
        <f>49.6066 * CHOOSE(CONTROL!$C$9, $C$13, 100%, $E$13) + CHOOSE(CONTROL!$C$28, 0.0272, 0)</f>
        <v>49.633800000000001</v>
      </c>
      <c r="C773" s="4">
        <f>49.2433 * CHOOSE(CONTROL!$C$9, $C$13, 100%, $E$13) + CHOOSE(CONTROL!$C$28, 0.0272, 0)</f>
        <v>49.270499999999998</v>
      </c>
      <c r="D773" s="4">
        <f>72.0754 * CHOOSE(CONTROL!$C$9, $C$13, 100%, $E$13) + CHOOSE(CONTROL!$C$28, 0.0021, 0)</f>
        <v>72.077500000000001</v>
      </c>
      <c r="E773" s="4">
        <f>345.302156194301 * CHOOSE(CONTROL!$C$9, $C$13, 100%, $E$13) + CHOOSE(CONTROL!$C$28, 0.0021, 0)</f>
        <v>345.30425619430099</v>
      </c>
    </row>
    <row r="774" spans="1:5" ht="15">
      <c r="A774" s="13">
        <v>64709</v>
      </c>
      <c r="B774" s="4">
        <f>50.7661 * CHOOSE(CONTROL!$C$9, $C$13, 100%, $E$13) + CHOOSE(CONTROL!$C$28, 0.0272, 0)</f>
        <v>50.793300000000002</v>
      </c>
      <c r="C774" s="4">
        <f>50.4028 * CHOOSE(CONTROL!$C$9, $C$13, 100%, $E$13) + CHOOSE(CONTROL!$C$28, 0.0272, 0)</f>
        <v>50.43</v>
      </c>
      <c r="D774" s="4">
        <f>74.5538 * CHOOSE(CONTROL!$C$9, $C$13, 100%, $E$13) + CHOOSE(CONTROL!$C$28, 0.0021, 0)</f>
        <v>74.555899999999994</v>
      </c>
      <c r="E774" s="4">
        <f>353.500990186881 * CHOOSE(CONTROL!$C$9, $C$13, 100%, $E$13) + CHOOSE(CONTROL!$C$28, 0.0021, 0)</f>
        <v>353.50309018688097</v>
      </c>
    </row>
    <row r="775" spans="1:5" ht="15">
      <c r="A775" s="13">
        <v>64740</v>
      </c>
      <c r="B775" s="4">
        <f>53.811 * CHOOSE(CONTROL!$C$9, $C$13, 100%, $E$13) + CHOOSE(CONTROL!$C$28, 0.0272, 0)</f>
        <v>53.838200000000001</v>
      </c>
      <c r="C775" s="4">
        <f>53.4477 * CHOOSE(CONTROL!$C$9, $C$13, 100%, $E$13) + CHOOSE(CONTROL!$C$28, 0.0272, 0)</f>
        <v>53.474899999999998</v>
      </c>
      <c r="D775" s="4">
        <f>78.4337 * CHOOSE(CONTROL!$C$9, $C$13, 100%, $E$13) + CHOOSE(CONTROL!$C$28, 0.0021, 0)</f>
        <v>78.4358</v>
      </c>
      <c r="E775" s="4">
        <f>375.031563963896 * CHOOSE(CONTROL!$C$9, $C$13, 100%, $E$13) + CHOOSE(CONTROL!$C$28, 0.0021, 0)</f>
        <v>375.033663963896</v>
      </c>
    </row>
    <row r="776" spans="1:5" ht="15">
      <c r="A776" s="13">
        <v>64770</v>
      </c>
      <c r="B776" s="4">
        <f>55.9744 * CHOOSE(CONTROL!$C$9, $C$13, 100%, $E$13) + CHOOSE(CONTROL!$C$28, 0.0272, 0)</f>
        <v>56.001600000000003</v>
      </c>
      <c r="C776" s="4">
        <f>55.6111 * CHOOSE(CONTROL!$C$9, $C$13, 100%, $E$13) + CHOOSE(CONTROL!$C$28, 0.0272, 0)</f>
        <v>55.638300000000001</v>
      </c>
      <c r="D776" s="4">
        <f>80.6686 * CHOOSE(CONTROL!$C$9, $C$13, 100%, $E$13) + CHOOSE(CONTROL!$C$28, 0.0021, 0)</f>
        <v>80.670699999999997</v>
      </c>
      <c r="E776" s="4">
        <f>390.329323565087 * CHOOSE(CONTROL!$C$9, $C$13, 100%, $E$13) + CHOOSE(CONTROL!$C$28, 0.0021, 0)</f>
        <v>390.33142356508699</v>
      </c>
    </row>
    <row r="777" spans="1:5" ht="15">
      <c r="A777" s="13">
        <v>64801</v>
      </c>
      <c r="B777" s="4">
        <f>57.2962 * CHOOSE(CONTROL!$C$9, $C$13, 100%, $E$13) + CHOOSE(CONTROL!$C$28, 0.0272, 0)</f>
        <v>57.323399999999999</v>
      </c>
      <c r="C777" s="4">
        <f>56.9329 * CHOOSE(CONTROL!$C$9, $C$13, 100%, $E$13) + CHOOSE(CONTROL!$C$28, 0.0272, 0)</f>
        <v>56.960099999999997</v>
      </c>
      <c r="D777" s="4">
        <f>79.7855 * CHOOSE(CONTROL!$C$9, $C$13, 100%, $E$13) + CHOOSE(CONTROL!$C$28, 0.0021, 0)</f>
        <v>79.787599999999998</v>
      </c>
      <c r="E777" s="4">
        <f>399.675888045287 * CHOOSE(CONTROL!$C$9, $C$13, 100%, $E$13) + CHOOSE(CONTROL!$C$28, 0.0021, 0)</f>
        <v>399.67798804528701</v>
      </c>
    </row>
    <row r="778" spans="1:5" ht="15">
      <c r="A778" s="13">
        <v>64831</v>
      </c>
      <c r="B778" s="4">
        <f>57.4751 * CHOOSE(CONTROL!$C$9, $C$13, 100%, $E$13) + CHOOSE(CONTROL!$C$28, 0.0272, 0)</f>
        <v>57.502299999999998</v>
      </c>
      <c r="C778" s="4">
        <f>57.1118 * CHOOSE(CONTROL!$C$9, $C$13, 100%, $E$13) + CHOOSE(CONTROL!$C$28, 0.0272, 0)</f>
        <v>57.139000000000003</v>
      </c>
      <c r="D778" s="4">
        <f>80.5047 * CHOOSE(CONTROL!$C$9, $C$13, 100%, $E$13) + CHOOSE(CONTROL!$C$28, 0.0021, 0)</f>
        <v>80.506799999999998</v>
      </c>
      <c r="E778" s="4">
        <f>400.940517008497 * CHOOSE(CONTROL!$C$9, $C$13, 100%, $E$13) + CHOOSE(CONTROL!$C$28, 0.0021, 0)</f>
        <v>400.942617008497</v>
      </c>
    </row>
    <row r="779" spans="1:5" ht="15">
      <c r="A779" s="13">
        <v>64862</v>
      </c>
      <c r="B779" s="4">
        <f>57.457 * CHOOSE(CONTROL!$C$9, $C$13, 100%, $E$13) + CHOOSE(CONTROL!$C$28, 0.0272, 0)</f>
        <v>57.484200000000001</v>
      </c>
      <c r="C779" s="4">
        <f>57.0938 * CHOOSE(CONTROL!$C$9, $C$13, 100%, $E$13) + CHOOSE(CONTROL!$C$28, 0.0272, 0)</f>
        <v>57.121000000000002</v>
      </c>
      <c r="D779" s="4">
        <f>81.8025 * CHOOSE(CONTROL!$C$9, $C$13, 100%, $E$13) + CHOOSE(CONTROL!$C$28, 0.0021, 0)</f>
        <v>81.804599999999994</v>
      </c>
      <c r="E779" s="4">
        <f>400.812991398762 * CHOOSE(CONTROL!$C$9, $C$13, 100%, $E$13) + CHOOSE(CONTROL!$C$28, 0.0021, 0)</f>
        <v>400.81509139876198</v>
      </c>
    </row>
    <row r="780" spans="1:5" ht="15">
      <c r="A780" s="13">
        <v>64893</v>
      </c>
      <c r="B780" s="4">
        <f>58.8142 * CHOOSE(CONTROL!$C$9, $C$13, 100%, $E$13) + CHOOSE(CONTROL!$C$28, 0.0272, 0)</f>
        <v>58.8414</v>
      </c>
      <c r="C780" s="4">
        <f>58.4509 * CHOOSE(CONTROL!$C$9, $C$13, 100%, $E$13) + CHOOSE(CONTROL!$C$28, 0.0272, 0)</f>
        <v>58.478099999999998</v>
      </c>
      <c r="D780" s="4">
        <f>80.9454 * CHOOSE(CONTROL!$C$9, $C$13, 100%, $E$13) + CHOOSE(CONTROL!$C$28, 0.0021, 0)</f>
        <v>80.947500000000005</v>
      </c>
      <c r="E780" s="4">
        <f>410.40929353136 * CHOOSE(CONTROL!$C$9, $C$13, 100%, $E$13) + CHOOSE(CONTROL!$C$28, 0.0021, 0)</f>
        <v>410.41139353135998</v>
      </c>
    </row>
    <row r="781" spans="1:5" ht="15">
      <c r="A781" s="13">
        <v>64923</v>
      </c>
      <c r="B781" s="4">
        <f>56.5012 * CHOOSE(CONTROL!$C$9, $C$13, 100%, $E$13) + CHOOSE(CONTROL!$C$28, 0.0272, 0)</f>
        <v>56.528399999999998</v>
      </c>
      <c r="C781" s="4">
        <f>56.1379 * CHOOSE(CONTROL!$C$9, $C$13, 100%, $E$13) + CHOOSE(CONTROL!$C$28, 0.0272, 0)</f>
        <v>56.165100000000002</v>
      </c>
      <c r="D781" s="4">
        <f>80.5405 * CHOOSE(CONTROL!$C$9, $C$13, 100%, $E$13) + CHOOSE(CONTROL!$C$28, 0.0021, 0)</f>
        <v>80.542599999999993</v>
      </c>
      <c r="E781" s="4">
        <f>394.054134082779 * CHOOSE(CONTROL!$C$9, $C$13, 100%, $E$13) + CHOOSE(CONTROL!$C$28, 0.0021, 0)</f>
        <v>394.05623408277899</v>
      </c>
    </row>
    <row r="782" spans="1:5" ht="15">
      <c r="A782" s="13">
        <v>64954</v>
      </c>
      <c r="B782" s="4">
        <f>54.6496 * CHOOSE(CONTROL!$C$9, $C$13, 100%, $E$13) + CHOOSE(CONTROL!$C$28, 0.0272, 0)</f>
        <v>54.6768</v>
      </c>
      <c r="C782" s="4">
        <f>54.2863 * CHOOSE(CONTROL!$C$9, $C$13, 100%, $E$13) + CHOOSE(CONTROL!$C$28, 0.0272, 0)</f>
        <v>54.313499999999998</v>
      </c>
      <c r="D782" s="4">
        <f>79.4562 * CHOOSE(CONTROL!$C$9, $C$13, 100%, $E$13) + CHOOSE(CONTROL!$C$28, 0.0021, 0)</f>
        <v>79.458299999999994</v>
      </c>
      <c r="E782" s="4">
        <f>380.961504816598 * CHOOSE(CONTROL!$C$9, $C$13, 100%, $E$13) + CHOOSE(CONTROL!$C$28, 0.0021, 0)</f>
        <v>380.96360481659798</v>
      </c>
    </row>
    <row r="783" spans="1:5" ht="15">
      <c r="A783" s="13">
        <v>64984</v>
      </c>
      <c r="B783" s="4">
        <f>53.457 * CHOOSE(CONTROL!$C$9, $C$13, 100%, $E$13) + CHOOSE(CONTROL!$C$28, 0.0272, 0)</f>
        <v>53.484200000000001</v>
      </c>
      <c r="C783" s="4">
        <f>53.0938 * CHOOSE(CONTROL!$C$9, $C$13, 100%, $E$13) + CHOOSE(CONTROL!$C$28, 0.0272, 0)</f>
        <v>53.121000000000002</v>
      </c>
      <c r="D783" s="4">
        <f>79.0835 * CHOOSE(CONTROL!$C$9, $C$13, 100%, $E$13) + CHOOSE(CONTROL!$C$28, 0.0021, 0)</f>
        <v>79.085599999999999</v>
      </c>
      <c r="E783" s="4">
        <f>372.528873872836 * CHOOSE(CONTROL!$C$9, $C$13, 100%, $E$13) + CHOOSE(CONTROL!$C$28, 0.0021, 0)</f>
        <v>372.530973872836</v>
      </c>
    </row>
    <row r="784" spans="1:5" ht="15">
      <c r="A784" s="13">
        <v>65015</v>
      </c>
      <c r="B784" s="4">
        <f>52.632 * CHOOSE(CONTROL!$C$9, $C$13, 100%, $E$13) + CHOOSE(CONTROL!$C$28, 0.0272, 0)</f>
        <v>52.659199999999998</v>
      </c>
      <c r="C784" s="4">
        <f>52.2687 * CHOOSE(CONTROL!$C$9, $C$13, 100%, $E$13) + CHOOSE(CONTROL!$C$28, 0.0272, 0)</f>
        <v>52.295900000000003</v>
      </c>
      <c r="D784" s="4">
        <f>76.3392 * CHOOSE(CONTROL!$C$9, $C$13, 100%, $E$13) + CHOOSE(CONTROL!$C$28, 0.0021, 0)</f>
        <v>76.341300000000004</v>
      </c>
      <c r="E784" s="4">
        <f>366.694577227436 * CHOOSE(CONTROL!$C$9, $C$13, 100%, $E$13) + CHOOSE(CONTROL!$C$28, 0.0021, 0)</f>
        <v>366.696677227436</v>
      </c>
    </row>
    <row r="785" spans="1:5" ht="15">
      <c r="A785" s="13">
        <v>65046</v>
      </c>
      <c r="B785" s="4">
        <f>50.3745 * CHOOSE(CONTROL!$C$9, $C$13, 100%, $E$13) + CHOOSE(CONTROL!$C$28, 0.0272, 0)</f>
        <v>50.401699999999998</v>
      </c>
      <c r="C785" s="4">
        <f>50.0112 * CHOOSE(CONTROL!$C$9, $C$13, 100%, $E$13) + CHOOSE(CONTROL!$C$28, 0.0272, 0)</f>
        <v>50.038400000000003</v>
      </c>
      <c r="D785" s="4">
        <f>73.3161 * CHOOSE(CONTROL!$C$9, $C$13, 100%, $E$13) + CHOOSE(CONTROL!$C$28, 0.0021, 0)</f>
        <v>73.318200000000004</v>
      </c>
      <c r="E785" s="4">
        <f>351.420258055457 * CHOOSE(CONTROL!$C$9, $C$13, 100%, $E$13) + CHOOSE(CONTROL!$C$28, 0.0021, 0)</f>
        <v>351.42235805545698</v>
      </c>
    </row>
    <row r="786" spans="1:5" ht="15">
      <c r="A786" s="13">
        <v>65074</v>
      </c>
      <c r="B786" s="4">
        <f>51.5522 * CHOOSE(CONTROL!$C$9, $C$13, 100%, $E$13) + CHOOSE(CONTROL!$C$28, 0.0272, 0)</f>
        <v>51.5794</v>
      </c>
      <c r="C786" s="4">
        <f>51.1889 * CHOOSE(CONTROL!$C$9, $C$13, 100%, $E$13) + CHOOSE(CONTROL!$C$28, 0.0272, 0)</f>
        <v>51.216099999999997</v>
      </c>
      <c r="D786" s="4">
        <f>75.8384 * CHOOSE(CONTROL!$C$9, $C$13, 100%, $E$13) + CHOOSE(CONTROL!$C$28, 0.0021, 0)</f>
        <v>75.840499999999992</v>
      </c>
      <c r="E786" s="4">
        <f>359.764359897106 * CHOOSE(CONTROL!$C$9, $C$13, 100%, $E$13) + CHOOSE(CONTROL!$C$28, 0.0021, 0)</f>
        <v>359.76645989710596</v>
      </c>
    </row>
    <row r="787" spans="1:5" ht="15">
      <c r="A787" s="13">
        <v>65105</v>
      </c>
      <c r="B787" s="4">
        <f>54.645 * CHOOSE(CONTROL!$C$9, $C$13, 100%, $E$13) + CHOOSE(CONTROL!$C$28, 0.0272, 0)</f>
        <v>54.672200000000004</v>
      </c>
      <c r="C787" s="4">
        <f>54.2817 * CHOOSE(CONTROL!$C$9, $C$13, 100%, $E$13) + CHOOSE(CONTROL!$C$28, 0.0272, 0)</f>
        <v>54.308900000000001</v>
      </c>
      <c r="D787" s="4">
        <f>79.7868 * CHOOSE(CONTROL!$C$9, $C$13, 100%, $E$13) + CHOOSE(CONTROL!$C$28, 0.0021, 0)</f>
        <v>79.788899999999998</v>
      </c>
      <c r="E787" s="4">
        <f>381.676414765779 * CHOOSE(CONTROL!$C$9, $C$13, 100%, $E$13) + CHOOSE(CONTROL!$C$28, 0.0021, 0)</f>
        <v>381.67851476577897</v>
      </c>
    </row>
    <row r="788" spans="1:5" ht="15">
      <c r="A788" s="13">
        <v>65135</v>
      </c>
      <c r="B788" s="4">
        <f>56.8424 * CHOOSE(CONTROL!$C$9, $C$13, 100%, $E$13) + CHOOSE(CONTROL!$C$28, 0.0272, 0)</f>
        <v>56.869599999999998</v>
      </c>
      <c r="C788" s="4">
        <f>56.4792 * CHOOSE(CONTROL!$C$9, $C$13, 100%, $E$13) + CHOOSE(CONTROL!$C$28, 0.0272, 0)</f>
        <v>56.506399999999999</v>
      </c>
      <c r="D788" s="4">
        <f>82.0612 * CHOOSE(CONTROL!$C$9, $C$13, 100%, $E$13) + CHOOSE(CONTROL!$C$28, 0.0021, 0)</f>
        <v>82.063299999999998</v>
      </c>
      <c r="E788" s="4">
        <f>397.245221766497 * CHOOSE(CONTROL!$C$9, $C$13, 100%, $E$13) + CHOOSE(CONTROL!$C$28, 0.0021, 0)</f>
        <v>397.24732176649701</v>
      </c>
    </row>
    <row r="789" spans="1:5" ht="15">
      <c r="A789" s="13">
        <v>65166</v>
      </c>
      <c r="B789" s="4">
        <f>58.185 * CHOOSE(CONTROL!$C$9, $C$13, 100%, $E$13) + CHOOSE(CONTROL!$C$28, 0.0272, 0)</f>
        <v>58.212200000000003</v>
      </c>
      <c r="C789" s="4">
        <f>57.8218 * CHOOSE(CONTROL!$C$9, $C$13, 100%, $E$13) + CHOOSE(CONTROL!$C$28, 0.0272, 0)</f>
        <v>57.849000000000004</v>
      </c>
      <c r="D789" s="4">
        <f>81.1624 * CHOOSE(CONTROL!$C$9, $C$13, 100%, $E$13) + CHOOSE(CONTROL!$C$28, 0.0021, 0)</f>
        <v>81.164500000000004</v>
      </c>
      <c r="E789" s="4">
        <f>406.757389711708 * CHOOSE(CONTROL!$C$9, $C$13, 100%, $E$13) + CHOOSE(CONTROL!$C$28, 0.0021, 0)</f>
        <v>406.759489711708</v>
      </c>
    </row>
    <row r="790" spans="1:5" ht="15">
      <c r="A790" s="13">
        <v>65196</v>
      </c>
      <c r="B790" s="4">
        <f>58.3667 * CHOOSE(CONTROL!$C$9, $C$13, 100%, $E$13) + CHOOSE(CONTROL!$C$28, 0.0272, 0)</f>
        <v>58.393900000000002</v>
      </c>
      <c r="C790" s="4">
        <f>58.0034 * CHOOSE(CONTROL!$C$9, $C$13, 100%, $E$13) + CHOOSE(CONTROL!$C$28, 0.0272, 0)</f>
        <v>58.0306</v>
      </c>
      <c r="D790" s="4">
        <f>81.8944 * CHOOSE(CONTROL!$C$9, $C$13, 100%, $E$13) + CHOOSE(CONTROL!$C$28, 0.0021, 0)</f>
        <v>81.896500000000003</v>
      </c>
      <c r="E790" s="4">
        <f>408.044425511004 * CHOOSE(CONTROL!$C$9, $C$13, 100%, $E$13) + CHOOSE(CONTROL!$C$28, 0.0021, 0)</f>
        <v>408.04652551100401</v>
      </c>
    </row>
    <row r="791" spans="1:5" ht="15">
      <c r="A791" s="13">
        <v>65227</v>
      </c>
      <c r="B791" s="4">
        <f>58.3484 * CHOOSE(CONTROL!$C$9, $C$13, 100%, $E$13) + CHOOSE(CONTROL!$C$28, 0.0272, 0)</f>
        <v>58.375599999999999</v>
      </c>
      <c r="C791" s="4">
        <f>57.9851 * CHOOSE(CONTROL!$C$9, $C$13, 100%, $E$13) + CHOOSE(CONTROL!$C$28, 0.0272, 0)</f>
        <v>58.012300000000003</v>
      </c>
      <c r="D791" s="4">
        <f>83.2151 * CHOOSE(CONTROL!$C$9, $C$13, 100%, $E$13) + CHOOSE(CONTROL!$C$28, 0.0021, 0)</f>
        <v>83.217200000000005</v>
      </c>
      <c r="E791" s="4">
        <f>407.914640388386 * CHOOSE(CONTROL!$C$9, $C$13, 100%, $E$13) + CHOOSE(CONTROL!$C$28, 0.0021, 0)</f>
        <v>407.91674038838596</v>
      </c>
    </row>
    <row r="792" spans="1:5" ht="15">
      <c r="A792" s="13">
        <v>65258</v>
      </c>
      <c r="B792" s="4">
        <f>59.7268 * CHOOSE(CONTROL!$C$9, $C$13, 100%, $E$13) + CHOOSE(CONTROL!$C$28, 0.0272, 0)</f>
        <v>59.753999999999998</v>
      </c>
      <c r="C792" s="4">
        <f>59.3636 * CHOOSE(CONTROL!$C$9, $C$13, 100%, $E$13) + CHOOSE(CONTROL!$C$28, 0.0272, 0)</f>
        <v>59.390799999999999</v>
      </c>
      <c r="D792" s="4">
        <f>82.3429 * CHOOSE(CONTROL!$C$9, $C$13, 100%, $E$13) + CHOOSE(CONTROL!$C$28, 0.0021, 0)</f>
        <v>82.344999999999999</v>
      </c>
      <c r="E792" s="4">
        <f>417.68097086539 * CHOOSE(CONTROL!$C$9, $C$13, 100%, $E$13) + CHOOSE(CONTROL!$C$28, 0.0021, 0)</f>
        <v>417.68307086538999</v>
      </c>
    </row>
    <row r="793" spans="1:5" ht="15">
      <c r="A793" s="13">
        <v>65288</v>
      </c>
      <c r="B793" s="4">
        <f>57.3775 * CHOOSE(CONTROL!$C$9, $C$13, 100%, $E$13) + CHOOSE(CONTROL!$C$28, 0.0272, 0)</f>
        <v>57.404699999999998</v>
      </c>
      <c r="C793" s="4">
        <f>57.0142 * CHOOSE(CONTROL!$C$9, $C$13, 100%, $E$13) + CHOOSE(CONTROL!$C$28, 0.0272, 0)</f>
        <v>57.041400000000003</v>
      </c>
      <c r="D793" s="4">
        <f>81.9308 * CHOOSE(CONTROL!$C$9, $C$13, 100%, $E$13) + CHOOSE(CONTROL!$C$28, 0.0021, 0)</f>
        <v>81.932900000000004</v>
      </c>
      <c r="E793" s="4">
        <f>401.036028889632 * CHOOSE(CONTROL!$C$9, $C$13, 100%, $E$13) + CHOOSE(CONTROL!$C$28, 0.0021, 0)</f>
        <v>401.03812888963199</v>
      </c>
    </row>
    <row r="794" spans="1:5" ht="15">
      <c r="A794" s="13">
        <v>65319</v>
      </c>
      <c r="B794" s="4">
        <f>55.4968 * CHOOSE(CONTROL!$C$9, $C$13, 100%, $E$13) + CHOOSE(CONTROL!$C$28, 0.0272, 0)</f>
        <v>55.524000000000001</v>
      </c>
      <c r="C794" s="4">
        <f>55.1335 * CHOOSE(CONTROL!$C$9, $C$13, 100%, $E$13) + CHOOSE(CONTROL!$C$28, 0.0272, 0)</f>
        <v>55.160699999999999</v>
      </c>
      <c r="D794" s="4">
        <f>80.8274 * CHOOSE(CONTROL!$C$9, $C$13, 100%, $E$13) + CHOOSE(CONTROL!$C$28, 0.0021, 0)</f>
        <v>80.829499999999996</v>
      </c>
      <c r="E794" s="4">
        <f>387.711422967516 * CHOOSE(CONTROL!$C$9, $C$13, 100%, $E$13) + CHOOSE(CONTROL!$C$28, 0.0021, 0)</f>
        <v>387.71352296751598</v>
      </c>
    </row>
    <row r="795" spans="1:5" ht="15">
      <c r="A795" s="13">
        <v>65349</v>
      </c>
      <c r="B795" s="4">
        <f>54.2855 * CHOOSE(CONTROL!$C$9, $C$13, 100%, $E$13) + CHOOSE(CONTROL!$C$28, 0.0272, 0)</f>
        <v>54.3127</v>
      </c>
      <c r="C795" s="4">
        <f>53.9222 * CHOOSE(CONTROL!$C$9, $C$13, 100%, $E$13) + CHOOSE(CONTROL!$C$28, 0.0272, 0)</f>
        <v>53.949399999999997</v>
      </c>
      <c r="D795" s="4">
        <f>80.448 * CHOOSE(CONTROL!$C$9, $C$13, 100%, $E$13) + CHOOSE(CONTROL!$C$28, 0.0021, 0)</f>
        <v>80.450099999999992</v>
      </c>
      <c r="E795" s="4">
        <f>379.129381734401 * CHOOSE(CONTROL!$C$9, $C$13, 100%, $E$13) + CHOOSE(CONTROL!$C$28, 0.0021, 0)</f>
        <v>379.13148173440101</v>
      </c>
    </row>
    <row r="796" spans="1:5" ht="15">
      <c r="A796" s="13">
        <v>65380</v>
      </c>
      <c r="B796" s="4">
        <f>53.4474 * CHOOSE(CONTROL!$C$9, $C$13, 100%, $E$13) + CHOOSE(CONTROL!$C$28, 0.0272, 0)</f>
        <v>53.474600000000002</v>
      </c>
      <c r="C796" s="4">
        <f>53.0841 * CHOOSE(CONTROL!$C$9, $C$13, 100%, $E$13) + CHOOSE(CONTROL!$C$28, 0.0272, 0)</f>
        <v>53.1113</v>
      </c>
      <c r="D796" s="4">
        <f>77.6552 * CHOOSE(CONTROL!$C$9, $C$13, 100%, $E$13) + CHOOSE(CONTROL!$C$28, 0.0021, 0)</f>
        <v>77.657299999999992</v>
      </c>
      <c r="E796" s="4">
        <f>373.191712374627 * CHOOSE(CONTROL!$C$9, $C$13, 100%, $E$13) + CHOOSE(CONTROL!$C$28, 0.0021, 0)</f>
        <v>373.19381237462699</v>
      </c>
    </row>
    <row r="797" spans="1:5" ht="15">
      <c r="A797" s="13">
        <v>65411</v>
      </c>
      <c r="B797" s="4">
        <f>51.1545 * CHOOSE(CONTROL!$C$9, $C$13, 100%, $E$13) + CHOOSE(CONTROL!$C$28, 0.0272, 0)</f>
        <v>51.181699999999999</v>
      </c>
      <c r="C797" s="4">
        <f>50.7912 * CHOOSE(CONTROL!$C$9, $C$13, 100%, $E$13) + CHOOSE(CONTROL!$C$28, 0.0272, 0)</f>
        <v>50.818400000000004</v>
      </c>
      <c r="D797" s="4">
        <f>74.5787 * CHOOSE(CONTROL!$C$9, $C$13, 100%, $E$13) + CHOOSE(CONTROL!$C$28, 0.0021, 0)</f>
        <v>74.580799999999996</v>
      </c>
      <c r="E797" s="4">
        <f>357.646761123243 * CHOOSE(CONTROL!$C$9, $C$13, 100%, $E$13) + CHOOSE(CONTROL!$C$28, 0.0021, 0)</f>
        <v>357.64886112324297</v>
      </c>
    </row>
    <row r="798" spans="1:5" ht="15">
      <c r="A798" s="13">
        <v>65439</v>
      </c>
      <c r="B798" s="4">
        <f>52.3507 * CHOOSE(CONTROL!$C$9, $C$13, 100%, $E$13) + CHOOSE(CONTROL!$C$28, 0.0272, 0)</f>
        <v>52.377900000000004</v>
      </c>
      <c r="C798" s="4">
        <f>51.9874 * CHOOSE(CONTROL!$C$9, $C$13, 100%, $E$13) + CHOOSE(CONTROL!$C$28, 0.0272, 0)</f>
        <v>52.014600000000002</v>
      </c>
      <c r="D798" s="4">
        <f>77.1456 * CHOOSE(CONTROL!$C$9, $C$13, 100%, $E$13) + CHOOSE(CONTROL!$C$28, 0.0021, 0)</f>
        <v>77.1477</v>
      </c>
      <c r="E798" s="4">
        <f>366.138704685806 * CHOOSE(CONTROL!$C$9, $C$13, 100%, $E$13) + CHOOSE(CONTROL!$C$28, 0.0021, 0)</f>
        <v>366.14080468580596</v>
      </c>
    </row>
    <row r="799" spans="1:5" ht="15">
      <c r="A799" s="13">
        <v>65470</v>
      </c>
      <c r="B799" s="4">
        <f>55.4921 * CHOOSE(CONTROL!$C$9, $C$13, 100%, $E$13) + CHOOSE(CONTROL!$C$28, 0.0272, 0)</f>
        <v>55.519300000000001</v>
      </c>
      <c r="C799" s="4">
        <f>55.1288 * CHOOSE(CONTROL!$C$9, $C$13, 100%, $E$13) + CHOOSE(CONTROL!$C$28, 0.0272, 0)</f>
        <v>55.155999999999999</v>
      </c>
      <c r="D799" s="4">
        <f>81.1637 * CHOOSE(CONTROL!$C$9, $C$13, 100%, $E$13) + CHOOSE(CONTROL!$C$28, 0.0021, 0)</f>
        <v>81.165800000000004</v>
      </c>
      <c r="E799" s="4">
        <f>388.438999770385 * CHOOSE(CONTROL!$C$9, $C$13, 100%, $E$13) + CHOOSE(CONTROL!$C$28, 0.0021, 0)</f>
        <v>388.44109977038499</v>
      </c>
    </row>
    <row r="800" spans="1:5" ht="15">
      <c r="A800" s="13">
        <v>65500</v>
      </c>
      <c r="B800" s="4">
        <f>57.7241 * CHOOSE(CONTROL!$C$9, $C$13, 100%, $E$13) + CHOOSE(CONTROL!$C$28, 0.0272, 0)</f>
        <v>57.751300000000001</v>
      </c>
      <c r="C800" s="4">
        <f>57.3608 * CHOOSE(CONTROL!$C$9, $C$13, 100%, $E$13) + CHOOSE(CONTROL!$C$28, 0.0272, 0)</f>
        <v>57.387999999999998</v>
      </c>
      <c r="D800" s="4">
        <f>83.4783 * CHOOSE(CONTROL!$C$9, $C$13, 100%, $E$13) + CHOOSE(CONTROL!$C$28, 0.0021, 0)</f>
        <v>83.480400000000003</v>
      </c>
      <c r="E800" s="4">
        <f>404.283656618486 * CHOOSE(CONTROL!$C$9, $C$13, 100%, $E$13) + CHOOSE(CONTROL!$C$28, 0.0021, 0)</f>
        <v>404.285756618486</v>
      </c>
    </row>
    <row r="801" spans="1:5" ht="15">
      <c r="A801" s="13">
        <v>65531</v>
      </c>
      <c r="B801" s="4">
        <f>59.0878 * CHOOSE(CONTROL!$C$9, $C$13, 100%, $E$13) + CHOOSE(CONTROL!$C$28, 0.0272, 0)</f>
        <v>59.115000000000002</v>
      </c>
      <c r="C801" s="4">
        <f>58.7246 * CHOOSE(CONTROL!$C$9, $C$13, 100%, $E$13) + CHOOSE(CONTROL!$C$28, 0.0272, 0)</f>
        <v>58.751800000000003</v>
      </c>
      <c r="D801" s="4">
        <f>82.5637 * CHOOSE(CONTROL!$C$9, $C$13, 100%, $E$13) + CHOOSE(CONTROL!$C$28, 0.0021, 0)</f>
        <v>82.565799999999996</v>
      </c>
      <c r="E801" s="4">
        <f>413.96436220925 * CHOOSE(CONTROL!$C$9, $C$13, 100%, $E$13) + CHOOSE(CONTROL!$C$28, 0.0021, 0)</f>
        <v>413.96646220924998</v>
      </c>
    </row>
    <row r="802" spans="1:5" ht="15">
      <c r="A802" s="13">
        <v>65561</v>
      </c>
      <c r="B802" s="4">
        <f>59.2723 * CHOOSE(CONTROL!$C$9, $C$13, 100%, $E$13) + CHOOSE(CONTROL!$C$28, 0.0272, 0)</f>
        <v>59.299500000000002</v>
      </c>
      <c r="C802" s="4">
        <f>58.9091 * CHOOSE(CONTROL!$C$9, $C$13, 100%, $E$13) + CHOOSE(CONTROL!$C$28, 0.0272, 0)</f>
        <v>58.936300000000003</v>
      </c>
      <c r="D802" s="4">
        <f>83.3086 * CHOOSE(CONTROL!$C$9, $C$13, 100%, $E$13) + CHOOSE(CONTROL!$C$28, 0.0021, 0)</f>
        <v>83.310699999999997</v>
      </c>
      <c r="E802" s="4">
        <f>415.274201851434 * CHOOSE(CONTROL!$C$9, $C$13, 100%, $E$13) + CHOOSE(CONTROL!$C$28, 0.0021, 0)</f>
        <v>415.27630185143397</v>
      </c>
    </row>
    <row r="803" spans="1:5" ht="15">
      <c r="A803" s="13">
        <v>65592</v>
      </c>
      <c r="B803" s="4">
        <f>59.2537 * CHOOSE(CONTROL!$C$9, $C$13, 100%, $E$13) + CHOOSE(CONTROL!$C$28, 0.0272, 0)</f>
        <v>59.280900000000003</v>
      </c>
      <c r="C803" s="4">
        <f>58.8905 * CHOOSE(CONTROL!$C$9, $C$13, 100%, $E$13) + CHOOSE(CONTROL!$C$28, 0.0272, 0)</f>
        <v>58.917700000000004</v>
      </c>
      <c r="D803" s="4">
        <f>84.6526 * CHOOSE(CONTROL!$C$9, $C$13, 100%, $E$13) + CHOOSE(CONTROL!$C$28, 0.0021, 0)</f>
        <v>84.654700000000005</v>
      </c>
      <c r="E803" s="4">
        <f>415.142117181634 * CHOOSE(CONTROL!$C$9, $C$13, 100%, $E$13) + CHOOSE(CONTROL!$C$28, 0.0021, 0)</f>
        <v>415.14421718163396</v>
      </c>
    </row>
    <row r="804" spans="1:5" ht="15">
      <c r="A804" s="13">
        <v>65623</v>
      </c>
      <c r="B804" s="4">
        <f>60.6539 * CHOOSE(CONTROL!$C$9, $C$13, 100%, $E$13) + CHOOSE(CONTROL!$C$28, 0.0272, 0)</f>
        <v>60.681100000000001</v>
      </c>
      <c r="C804" s="4">
        <f>60.2906 * CHOOSE(CONTROL!$C$9, $C$13, 100%, $E$13) + CHOOSE(CONTROL!$C$28, 0.0272, 0)</f>
        <v>60.317799999999998</v>
      </c>
      <c r="D804" s="4">
        <f>83.765 * CHOOSE(CONTROL!$C$9, $C$13, 100%, $E$13) + CHOOSE(CONTROL!$C$28, 0.0021, 0)</f>
        <v>83.767099999999999</v>
      </c>
      <c r="E804" s="4">
        <f>425.081488584089 * CHOOSE(CONTROL!$C$9, $C$13, 100%, $E$13) + CHOOSE(CONTROL!$C$28, 0.0021, 0)</f>
        <v>425.083588584089</v>
      </c>
    </row>
    <row r="805" spans="1:5" ht="15">
      <c r="A805" s="13">
        <v>65653</v>
      </c>
      <c r="B805" s="4">
        <f>58.2676 * CHOOSE(CONTROL!$C$9, $C$13, 100%, $E$13) + CHOOSE(CONTROL!$C$28, 0.0272, 0)</f>
        <v>58.294800000000002</v>
      </c>
      <c r="C805" s="4">
        <f>57.9043 * CHOOSE(CONTROL!$C$9, $C$13, 100%, $E$13) + CHOOSE(CONTROL!$C$28, 0.0272, 0)</f>
        <v>57.9315</v>
      </c>
      <c r="D805" s="4">
        <f>83.3456 * CHOOSE(CONTROL!$C$9, $C$13, 100%, $E$13) + CHOOSE(CONTROL!$C$28, 0.0021, 0)</f>
        <v>83.347700000000003</v>
      </c>
      <c r="E805" s="4">
        <f>408.14162968223 * CHOOSE(CONTROL!$C$9, $C$13, 100%, $E$13) + CHOOSE(CONTROL!$C$28, 0.0021, 0)</f>
        <v>408.14372968223</v>
      </c>
    </row>
    <row r="806" spans="1:5" ht="15">
      <c r="A806" s="13">
        <v>65684</v>
      </c>
      <c r="B806" s="4">
        <f>56.3573 * CHOOSE(CONTROL!$C$9, $C$13, 100%, $E$13) + CHOOSE(CONTROL!$C$28, 0.0272, 0)</f>
        <v>56.384500000000003</v>
      </c>
      <c r="C806" s="4">
        <f>55.994 * CHOOSE(CONTROL!$C$9, $C$13, 100%, $E$13) + CHOOSE(CONTROL!$C$28, 0.0272, 0)</f>
        <v>56.0212</v>
      </c>
      <c r="D806" s="4">
        <f>82.2227 * CHOOSE(CONTROL!$C$9, $C$13, 100%, $E$13) + CHOOSE(CONTROL!$C$28, 0.0021, 0)</f>
        <v>82.224800000000002</v>
      </c>
      <c r="E806" s="4">
        <f>394.580936916089 * CHOOSE(CONTROL!$C$9, $C$13, 100%, $E$13) + CHOOSE(CONTROL!$C$28, 0.0021, 0)</f>
        <v>394.58303691608899</v>
      </c>
    </row>
    <row r="807" spans="1:5" ht="15">
      <c r="A807" s="13">
        <v>65714</v>
      </c>
      <c r="B807" s="4">
        <f>55.127 * CHOOSE(CONTROL!$C$9, $C$13, 100%, $E$13) + CHOOSE(CONTROL!$C$28, 0.0272, 0)</f>
        <v>55.154200000000003</v>
      </c>
      <c r="C807" s="4">
        <f>54.7637 * CHOOSE(CONTROL!$C$9, $C$13, 100%, $E$13) + CHOOSE(CONTROL!$C$28, 0.0272, 0)</f>
        <v>54.790900000000001</v>
      </c>
      <c r="D807" s="4">
        <f>81.8367 * CHOOSE(CONTROL!$C$9, $C$13, 100%, $E$13) + CHOOSE(CONTROL!$C$28, 0.0021, 0)</f>
        <v>81.838799999999992</v>
      </c>
      <c r="E807" s="4">
        <f>385.846838125559 * CHOOSE(CONTROL!$C$9, $C$13, 100%, $E$13) + CHOOSE(CONTROL!$C$28, 0.0021, 0)</f>
        <v>385.84893812555896</v>
      </c>
    </row>
    <row r="808" spans="1:5" ht="15">
      <c r="A808" s="13">
        <v>65745</v>
      </c>
      <c r="B808" s="4">
        <f>54.2757 * CHOOSE(CONTROL!$C$9, $C$13, 100%, $E$13) + CHOOSE(CONTROL!$C$28, 0.0272, 0)</f>
        <v>54.302900000000001</v>
      </c>
      <c r="C808" s="4">
        <f>53.9124 * CHOOSE(CONTROL!$C$9, $C$13, 100%, $E$13) + CHOOSE(CONTROL!$C$28, 0.0272, 0)</f>
        <v>53.939599999999999</v>
      </c>
      <c r="D808" s="4">
        <f>78.9946 * CHOOSE(CONTROL!$C$9, $C$13, 100%, $E$13) + CHOOSE(CONTROL!$C$28, 0.0021, 0)</f>
        <v>78.996700000000004</v>
      </c>
      <c r="E808" s="4">
        <f>379.803964482205 * CHOOSE(CONTROL!$C$9, $C$13, 100%, $E$13) + CHOOSE(CONTROL!$C$28, 0.0021, 0)</f>
        <v>379.80606448220499</v>
      </c>
    </row>
    <row r="809" spans="1:5" ht="15">
      <c r="A809" s="13">
        <v>65776</v>
      </c>
      <c r="B809" s="4">
        <f>51.9467 * CHOOSE(CONTROL!$C$9, $C$13, 100%, $E$13) + CHOOSE(CONTROL!$C$28, 0.0272, 0)</f>
        <v>51.9739</v>
      </c>
      <c r="C809" s="4">
        <f>51.5834 * CHOOSE(CONTROL!$C$9, $C$13, 100%, $E$13) + CHOOSE(CONTROL!$C$28, 0.0272, 0)</f>
        <v>51.610599999999998</v>
      </c>
      <c r="D809" s="4">
        <f>75.8637 * CHOOSE(CONTROL!$C$9, $C$13, 100%, $E$13) + CHOOSE(CONTROL!$C$28, 0.0021, 0)</f>
        <v>75.865799999999993</v>
      </c>
      <c r="E809" s="4">
        <f>363.983586062248 * CHOOSE(CONTROL!$C$9, $C$13, 100%, $E$13) + CHOOSE(CONTROL!$C$28, 0.0021, 0)</f>
        <v>363.98568606224796</v>
      </c>
    </row>
    <row r="810" spans="1:5" ht="15">
      <c r="A810" s="13">
        <v>65805</v>
      </c>
      <c r="B810" s="4">
        <f>53.1618 * CHOOSE(CONTROL!$C$9, $C$13, 100%, $E$13) + CHOOSE(CONTROL!$C$28, 0.0272, 0)</f>
        <v>53.189</v>
      </c>
      <c r="C810" s="4">
        <f>52.7985 * CHOOSE(CONTROL!$C$9, $C$13, 100%, $E$13) + CHOOSE(CONTROL!$C$28, 0.0272, 0)</f>
        <v>52.825699999999998</v>
      </c>
      <c r="D810" s="4">
        <f>78.4759 * CHOOSE(CONTROL!$C$9, $C$13, 100%, $E$13) + CHOOSE(CONTROL!$C$28, 0.0021, 0)</f>
        <v>78.477999999999994</v>
      </c>
      <c r="E810" s="4">
        <f>372.625990821717 * CHOOSE(CONTROL!$C$9, $C$13, 100%, $E$13) + CHOOSE(CONTROL!$C$28, 0.0021, 0)</f>
        <v>372.62809082171697</v>
      </c>
    </row>
    <row r="811" spans="1:5" ht="15">
      <c r="A811" s="13">
        <v>65836</v>
      </c>
      <c r="B811" s="4">
        <f>56.3526 * CHOOSE(CONTROL!$C$9, $C$13, 100%, $E$13) + CHOOSE(CONTROL!$C$28, 0.0272, 0)</f>
        <v>56.379800000000003</v>
      </c>
      <c r="C811" s="4">
        <f>55.9893 * CHOOSE(CONTROL!$C$9, $C$13, 100%, $E$13) + CHOOSE(CONTROL!$C$28, 0.0272, 0)</f>
        <v>56.016500000000001</v>
      </c>
      <c r="D811" s="4">
        <f>82.565 * CHOOSE(CONTROL!$C$9, $C$13, 100%, $E$13) + CHOOSE(CONTROL!$C$28, 0.0021, 0)</f>
        <v>82.567099999999996</v>
      </c>
      <c r="E811" s="4">
        <f>395.321405005363 * CHOOSE(CONTROL!$C$9, $C$13, 100%, $E$13) + CHOOSE(CONTROL!$C$28, 0.0021, 0)</f>
        <v>395.32350500536296</v>
      </c>
    </row>
    <row r="812" spans="1:5" ht="15">
      <c r="A812" s="13">
        <v>65866</v>
      </c>
      <c r="B812" s="4">
        <f>58.6197 * CHOOSE(CONTROL!$C$9, $C$13, 100%, $E$13) + CHOOSE(CONTROL!$C$28, 0.0272, 0)</f>
        <v>58.646900000000002</v>
      </c>
      <c r="C812" s="4">
        <f>58.2564 * CHOOSE(CONTROL!$C$9, $C$13, 100%, $E$13) + CHOOSE(CONTROL!$C$28, 0.0272, 0)</f>
        <v>58.2836</v>
      </c>
      <c r="D812" s="4">
        <f>84.9205 * CHOOSE(CONTROL!$C$9, $C$13, 100%, $E$13) + CHOOSE(CONTROL!$C$28, 0.0021, 0)</f>
        <v>84.922600000000003</v>
      </c>
      <c r="E812" s="4">
        <f>411.446799239005 * CHOOSE(CONTROL!$C$9, $C$13, 100%, $E$13) + CHOOSE(CONTROL!$C$28, 0.0021, 0)</f>
        <v>411.44889923900496</v>
      </c>
    </row>
    <row r="813" spans="1:5" ht="15">
      <c r="A813" s="13">
        <v>65897</v>
      </c>
      <c r="B813" s="4">
        <f>60.0048 * CHOOSE(CONTROL!$C$9, $C$13, 100%, $E$13) + CHOOSE(CONTROL!$C$28, 0.0272, 0)</f>
        <v>60.032000000000004</v>
      </c>
      <c r="C813" s="4">
        <f>59.6415 * CHOOSE(CONTROL!$C$9, $C$13, 100%, $E$13) + CHOOSE(CONTROL!$C$28, 0.0272, 0)</f>
        <v>59.668700000000001</v>
      </c>
      <c r="D813" s="4">
        <f>83.9897 * CHOOSE(CONTROL!$C$9, $C$13, 100%, $E$13) + CHOOSE(CONTROL!$C$28, 0.0021, 0)</f>
        <v>83.991799999999998</v>
      </c>
      <c r="E813" s="4">
        <f>421.299028643998 * CHOOSE(CONTROL!$C$9, $C$13, 100%, $E$13) + CHOOSE(CONTROL!$C$28, 0.0021, 0)</f>
        <v>421.30112864399797</v>
      </c>
    </row>
    <row r="814" spans="1:5" ht="15">
      <c r="A814" s="13">
        <v>65927</v>
      </c>
      <c r="B814" s="4">
        <f>60.1922 * CHOOSE(CONTROL!$C$9, $C$13, 100%, $E$13) + CHOOSE(CONTROL!$C$28, 0.0272, 0)</f>
        <v>60.2194</v>
      </c>
      <c r="C814" s="4">
        <f>59.829 * CHOOSE(CONTROL!$C$9, $C$13, 100%, $E$13) + CHOOSE(CONTROL!$C$28, 0.0272, 0)</f>
        <v>59.856200000000001</v>
      </c>
      <c r="D814" s="4">
        <f>84.7478 * CHOOSE(CONTROL!$C$9, $C$13, 100%, $E$13) + CHOOSE(CONTROL!$C$28, 0.0021, 0)</f>
        <v>84.749899999999997</v>
      </c>
      <c r="E814" s="4">
        <f>422.632076170086 * CHOOSE(CONTROL!$C$9, $C$13, 100%, $E$13) + CHOOSE(CONTROL!$C$28, 0.0021, 0)</f>
        <v>422.63417617008599</v>
      </c>
    </row>
    <row r="815" spans="1:5" ht="15">
      <c r="A815" s="13">
        <v>65958</v>
      </c>
      <c r="B815" s="4">
        <f>60.1733 * CHOOSE(CONTROL!$C$9, $C$13, 100%, $E$13) + CHOOSE(CONTROL!$C$28, 0.0272, 0)</f>
        <v>60.200499999999998</v>
      </c>
      <c r="C815" s="4">
        <f>59.8101 * CHOOSE(CONTROL!$C$9, $C$13, 100%, $E$13) + CHOOSE(CONTROL!$C$28, 0.0272, 0)</f>
        <v>59.837299999999999</v>
      </c>
      <c r="D815" s="4">
        <f>86.1156 * CHOOSE(CONTROL!$C$9, $C$13, 100%, $E$13) + CHOOSE(CONTROL!$C$28, 0.0021, 0)</f>
        <v>86.117699999999999</v>
      </c>
      <c r="E815" s="4">
        <f>422.497651209472 * CHOOSE(CONTROL!$C$9, $C$13, 100%, $E$13) + CHOOSE(CONTROL!$C$28, 0.0021, 0)</f>
        <v>422.49975120947198</v>
      </c>
    </row>
    <row r="816" spans="1:5" ht="15">
      <c r="A816" s="13">
        <v>65989</v>
      </c>
      <c r="B816" s="4">
        <f>61.5955 * CHOOSE(CONTROL!$C$9, $C$13, 100%, $E$13) + CHOOSE(CONTROL!$C$28, 0.0272, 0)</f>
        <v>61.622700000000002</v>
      </c>
      <c r="C816" s="4">
        <f>61.2322 * CHOOSE(CONTROL!$C$9, $C$13, 100%, $E$13) + CHOOSE(CONTROL!$C$28, 0.0272, 0)</f>
        <v>61.259399999999999</v>
      </c>
      <c r="D816" s="4">
        <f>85.2123 * CHOOSE(CONTROL!$C$9, $C$13, 100%, $E$13) + CHOOSE(CONTROL!$C$28, 0.0021, 0)</f>
        <v>85.214399999999998</v>
      </c>
      <c r="E816" s="4">
        <f>432.613129495667 * CHOOSE(CONTROL!$C$9, $C$13, 100%, $E$13) + CHOOSE(CONTROL!$C$28, 0.0021, 0)</f>
        <v>432.61522949566699</v>
      </c>
    </row>
    <row r="817" spans="1:5" ht="15">
      <c r="A817" s="13">
        <v>66019</v>
      </c>
      <c r="B817" s="4">
        <f>59.1717 * CHOOSE(CONTROL!$C$9, $C$13, 100%, $E$13) + CHOOSE(CONTROL!$C$28, 0.0272, 0)</f>
        <v>59.198900000000002</v>
      </c>
      <c r="C817" s="4">
        <f>58.8084 * CHOOSE(CONTROL!$C$9, $C$13, 100%, $E$13) + CHOOSE(CONTROL!$C$28, 0.0272, 0)</f>
        <v>58.835599999999999</v>
      </c>
      <c r="D817" s="4">
        <f>84.7855 * CHOOSE(CONTROL!$C$9, $C$13, 100%, $E$13) + CHOOSE(CONTROL!$C$28, 0.0021, 0)</f>
        <v>84.787599999999998</v>
      </c>
      <c r="E817" s="4">
        <f>415.373128296936 * CHOOSE(CONTROL!$C$9, $C$13, 100%, $E$13) + CHOOSE(CONTROL!$C$28, 0.0021, 0)</f>
        <v>415.37522829693597</v>
      </c>
    </row>
    <row r="818" spans="1:5" ht="15">
      <c r="A818" s="13">
        <v>66050</v>
      </c>
      <c r="B818" s="4">
        <f>57.2314 * CHOOSE(CONTROL!$C$9, $C$13, 100%, $E$13) + CHOOSE(CONTROL!$C$28, 0.0272, 0)</f>
        <v>57.258600000000001</v>
      </c>
      <c r="C818" s="4">
        <f>56.8681 * CHOOSE(CONTROL!$C$9, $C$13, 100%, $E$13) + CHOOSE(CONTROL!$C$28, 0.0272, 0)</f>
        <v>56.895299999999999</v>
      </c>
      <c r="D818" s="4">
        <f>83.6428 * CHOOSE(CONTROL!$C$9, $C$13, 100%, $E$13) + CHOOSE(CONTROL!$C$28, 0.0021, 0)</f>
        <v>83.644899999999993</v>
      </c>
      <c r="E818" s="4">
        <f>401.572165673909 * CHOOSE(CONTROL!$C$9, $C$13, 100%, $E$13) + CHOOSE(CONTROL!$C$28, 0.0021, 0)</f>
        <v>401.574265673909</v>
      </c>
    </row>
    <row r="819" spans="1:5" ht="15">
      <c r="A819" s="13">
        <v>66080</v>
      </c>
      <c r="B819" s="4">
        <f>55.9817 * CHOOSE(CONTROL!$C$9, $C$13, 100%, $E$13) + CHOOSE(CONTROL!$C$28, 0.0272, 0)</f>
        <v>56.008899999999997</v>
      </c>
      <c r="C819" s="4">
        <f>55.6184 * CHOOSE(CONTROL!$C$9, $C$13, 100%, $E$13) + CHOOSE(CONTROL!$C$28, 0.0272, 0)</f>
        <v>55.645600000000002</v>
      </c>
      <c r="D819" s="4">
        <f>83.2499 * CHOOSE(CONTROL!$C$9, $C$13, 100%, $E$13) + CHOOSE(CONTROL!$C$28, 0.0021, 0)</f>
        <v>83.251999999999995</v>
      </c>
      <c r="E819" s="4">
        <f>392.683315153315 * CHOOSE(CONTROL!$C$9, $C$13, 100%, $E$13) + CHOOSE(CONTROL!$C$28, 0.0021, 0)</f>
        <v>392.68541515331498</v>
      </c>
    </row>
    <row r="820" spans="1:5" ht="15">
      <c r="A820" s="13">
        <v>66111</v>
      </c>
      <c r="B820" s="4">
        <f>55.117 * CHOOSE(CONTROL!$C$9, $C$13, 100%, $E$13) + CHOOSE(CONTROL!$C$28, 0.0272, 0)</f>
        <v>55.144199999999998</v>
      </c>
      <c r="C820" s="4">
        <f>54.7538 * CHOOSE(CONTROL!$C$9, $C$13, 100%, $E$13) + CHOOSE(CONTROL!$C$28, 0.0272, 0)</f>
        <v>54.780999999999999</v>
      </c>
      <c r="D820" s="4">
        <f>80.3575 * CHOOSE(CONTROL!$C$9, $C$13, 100%, $E$13) + CHOOSE(CONTROL!$C$28, 0.0021, 0)</f>
        <v>80.3596</v>
      </c>
      <c r="E820" s="4">
        <f>386.533373205229 * CHOOSE(CONTROL!$C$9, $C$13, 100%, $E$13) + CHOOSE(CONTROL!$C$28, 0.0021, 0)</f>
        <v>386.53547320522898</v>
      </c>
    </row>
    <row r="821" spans="1:5" ht="15">
      <c r="A821" s="13">
        <v>66142</v>
      </c>
      <c r="B821" s="4">
        <f>52.7514 * CHOOSE(CONTROL!$C$9, $C$13, 100%, $E$13) + CHOOSE(CONTROL!$C$28, 0.0272, 0)</f>
        <v>52.778599999999997</v>
      </c>
      <c r="C821" s="4">
        <f>52.3881 * CHOOSE(CONTROL!$C$9, $C$13, 100%, $E$13) + CHOOSE(CONTROL!$C$28, 0.0272, 0)</f>
        <v>52.415300000000002</v>
      </c>
      <c r="D821" s="4">
        <f>77.1714 * CHOOSE(CONTROL!$C$9, $C$13, 100%, $E$13) + CHOOSE(CONTROL!$C$28, 0.0021, 0)</f>
        <v>77.173500000000004</v>
      </c>
      <c r="E821" s="4">
        <f>370.432687567611 * CHOOSE(CONTROL!$C$9, $C$13, 100%, $E$13) + CHOOSE(CONTROL!$C$28, 0.0021, 0)</f>
        <v>370.43478756761101</v>
      </c>
    </row>
    <row r="822" spans="1:5" ht="15">
      <c r="A822" s="13">
        <v>66170</v>
      </c>
      <c r="B822" s="4">
        <f>53.9856 * CHOOSE(CONTROL!$C$9, $C$13, 100%, $E$13) + CHOOSE(CONTROL!$C$28, 0.0272, 0)</f>
        <v>54.012799999999999</v>
      </c>
      <c r="C822" s="4">
        <f>53.6223 * CHOOSE(CONTROL!$C$9, $C$13, 100%, $E$13) + CHOOSE(CONTROL!$C$28, 0.0272, 0)</f>
        <v>53.649500000000003</v>
      </c>
      <c r="D822" s="4">
        <f>79.8297 * CHOOSE(CONTROL!$C$9, $C$13, 100%, $E$13) + CHOOSE(CONTROL!$C$28, 0.0021, 0)</f>
        <v>79.831800000000001</v>
      </c>
      <c r="E822" s="4">
        <f>379.228219412142 * CHOOSE(CONTROL!$C$9, $C$13, 100%, $E$13) + CHOOSE(CONTROL!$C$28, 0.0021, 0)</f>
        <v>379.23031941214197</v>
      </c>
    </row>
    <row r="823" spans="1:5" ht="15">
      <c r="A823" s="13">
        <v>66201</v>
      </c>
      <c r="B823" s="4">
        <f>57.2265 * CHOOSE(CONTROL!$C$9, $C$13, 100%, $E$13) + CHOOSE(CONTROL!$C$28, 0.0272, 0)</f>
        <v>57.253700000000002</v>
      </c>
      <c r="C823" s="4">
        <f>56.8633 * CHOOSE(CONTROL!$C$9, $C$13, 100%, $E$13) + CHOOSE(CONTROL!$C$28, 0.0272, 0)</f>
        <v>56.890500000000003</v>
      </c>
      <c r="D823" s="4">
        <f>83.9911 * CHOOSE(CONTROL!$C$9, $C$13, 100%, $E$13) + CHOOSE(CONTROL!$C$28, 0.0021, 0)</f>
        <v>83.993200000000002</v>
      </c>
      <c r="E823" s="4">
        <f>402.325753458829 * CHOOSE(CONTROL!$C$9, $C$13, 100%, $E$13) + CHOOSE(CONTROL!$C$28, 0.0021, 0)</f>
        <v>402.327853458829</v>
      </c>
    </row>
    <row r="824" spans="1:5" ht="15">
      <c r="A824" s="13">
        <v>66231</v>
      </c>
      <c r="B824" s="4">
        <f>59.5293 * CHOOSE(CONTROL!$C$9, $C$13, 100%, $E$13) + CHOOSE(CONTROL!$C$28, 0.0272, 0)</f>
        <v>59.5565</v>
      </c>
      <c r="C824" s="4">
        <f>59.166 * CHOOSE(CONTROL!$C$9, $C$13, 100%, $E$13) + CHOOSE(CONTROL!$C$28, 0.0272, 0)</f>
        <v>59.193199999999997</v>
      </c>
      <c r="D824" s="4">
        <f>86.3882 * CHOOSE(CONTROL!$C$9, $C$13, 100%, $E$13) + CHOOSE(CONTROL!$C$28, 0.0021, 0)</f>
        <v>86.390299999999996</v>
      </c>
      <c r="E824" s="4">
        <f>418.736859214113 * CHOOSE(CONTROL!$C$9, $C$13, 100%, $E$13) + CHOOSE(CONTROL!$C$28, 0.0021, 0)</f>
        <v>418.73895921411298</v>
      </c>
    </row>
    <row r="825" spans="1:5" ht="15">
      <c r="A825" s="13">
        <v>66262</v>
      </c>
      <c r="B825" s="4">
        <f>60.9362 * CHOOSE(CONTROL!$C$9, $C$13, 100%, $E$13) + CHOOSE(CONTROL!$C$28, 0.0272, 0)</f>
        <v>60.9634</v>
      </c>
      <c r="C825" s="4">
        <f>60.5729 * CHOOSE(CONTROL!$C$9, $C$13, 100%, $E$13) + CHOOSE(CONTROL!$C$28, 0.0272, 0)</f>
        <v>60.600099999999998</v>
      </c>
      <c r="D825" s="4">
        <f>85.441 * CHOOSE(CONTROL!$C$9, $C$13, 100%, $E$13) + CHOOSE(CONTROL!$C$28, 0.0021, 0)</f>
        <v>85.443100000000001</v>
      </c>
      <c r="E825" s="4">
        <f>428.76365151128 * CHOOSE(CONTROL!$C$9, $C$13, 100%, $E$13) + CHOOSE(CONTROL!$C$28, 0.0021, 0)</f>
        <v>428.76575151127997</v>
      </c>
    </row>
    <row r="826" spans="1:5" ht="15">
      <c r="A826" s="13">
        <v>66292</v>
      </c>
      <c r="B826" s="4">
        <f>61.1266 * CHOOSE(CONTROL!$C$9, $C$13, 100%, $E$13) + CHOOSE(CONTROL!$C$28, 0.0272, 0)</f>
        <v>61.153800000000004</v>
      </c>
      <c r="C826" s="4">
        <f>60.7633 * CHOOSE(CONTROL!$C$9, $C$13, 100%, $E$13) + CHOOSE(CONTROL!$C$28, 0.0272, 0)</f>
        <v>60.790500000000002</v>
      </c>
      <c r="D826" s="4">
        <f>86.2124 * CHOOSE(CONTROL!$C$9, $C$13, 100%, $E$13) + CHOOSE(CONTROL!$C$28, 0.0021, 0)</f>
        <v>86.214500000000001</v>
      </c>
      <c r="E826" s="4">
        <f>430.12031812113 * CHOOSE(CONTROL!$C$9, $C$13, 100%, $E$13) + CHOOSE(CONTROL!$C$28, 0.0021, 0)</f>
        <v>430.12241812113001</v>
      </c>
    </row>
    <row r="827" spans="1:5" ht="15">
      <c r="A827" s="13">
        <v>66323</v>
      </c>
      <c r="B827" s="4">
        <f>61.1074 * CHOOSE(CONTROL!$C$9, $C$13, 100%, $E$13) + CHOOSE(CONTROL!$C$28, 0.0272, 0)</f>
        <v>61.134599999999999</v>
      </c>
      <c r="C827" s="4">
        <f>60.7441 * CHOOSE(CONTROL!$C$9, $C$13, 100%, $E$13) + CHOOSE(CONTROL!$C$28, 0.0272, 0)</f>
        <v>60.771300000000004</v>
      </c>
      <c r="D827" s="4">
        <f>87.6044 * CHOOSE(CONTROL!$C$9, $C$13, 100%, $E$13) + CHOOSE(CONTROL!$C$28, 0.0021, 0)</f>
        <v>87.606499999999997</v>
      </c>
      <c r="E827" s="4">
        <f>429.983511404171 * CHOOSE(CONTROL!$C$9, $C$13, 100%, $E$13) + CHOOSE(CONTROL!$C$28, 0.0021, 0)</f>
        <v>429.98561140417098</v>
      </c>
    </row>
    <row r="828" spans="1:5" ht="15">
      <c r="A828" s="13">
        <v>66354</v>
      </c>
      <c r="B828" s="4">
        <f>62.5519 * CHOOSE(CONTROL!$C$9, $C$13, 100%, $E$13) + CHOOSE(CONTROL!$C$28, 0.0272, 0)</f>
        <v>62.579100000000004</v>
      </c>
      <c r="C828" s="4">
        <f>62.1886 * CHOOSE(CONTROL!$C$9, $C$13, 100%, $E$13) + CHOOSE(CONTROL!$C$28, 0.0272, 0)</f>
        <v>62.215800000000002</v>
      </c>
      <c r="D828" s="4">
        <f>86.6851 * CHOOSE(CONTROL!$C$9, $C$13, 100%, $E$13) + CHOOSE(CONTROL!$C$28, 0.0021, 0)</f>
        <v>86.687200000000004</v>
      </c>
      <c r="E828" s="4">
        <f>440.278216855384 * CHOOSE(CONTROL!$C$9, $C$13, 100%, $E$13) + CHOOSE(CONTROL!$C$28, 0.0021, 0)</f>
        <v>440.280316855384</v>
      </c>
    </row>
    <row r="829" spans="1:5" ht="15">
      <c r="A829" s="13">
        <v>66384</v>
      </c>
      <c r="B829" s="4">
        <f>60.09 * CHOOSE(CONTROL!$C$9, $C$13, 100%, $E$13) + CHOOSE(CONTROL!$C$28, 0.0272, 0)</f>
        <v>60.117200000000004</v>
      </c>
      <c r="C829" s="4">
        <f>59.7267 * CHOOSE(CONTROL!$C$9, $C$13, 100%, $E$13) + CHOOSE(CONTROL!$C$28, 0.0272, 0)</f>
        <v>59.753900000000002</v>
      </c>
      <c r="D829" s="4">
        <f>86.2508 * CHOOSE(CONTROL!$C$9, $C$13, 100%, $E$13) + CHOOSE(CONTROL!$C$28, 0.0021, 0)</f>
        <v>86.252899999999997</v>
      </c>
      <c r="E829" s="4">
        <f>422.732755405309 * CHOOSE(CONTROL!$C$9, $C$13, 100%, $E$13) + CHOOSE(CONTROL!$C$28, 0.0021, 0)</f>
        <v>422.73485540530896</v>
      </c>
    </row>
    <row r="830" spans="1:5" ht="15">
      <c r="A830" s="13">
        <v>66415</v>
      </c>
      <c r="B830" s="4">
        <f>58.1192 * CHOOSE(CONTROL!$C$9, $C$13, 100%, $E$13) + CHOOSE(CONTROL!$C$28, 0.0272, 0)</f>
        <v>58.1464</v>
      </c>
      <c r="C830" s="4">
        <f>57.7559 * CHOOSE(CONTROL!$C$9, $C$13, 100%, $E$13) + CHOOSE(CONTROL!$C$28, 0.0272, 0)</f>
        <v>57.783099999999997</v>
      </c>
      <c r="D830" s="4">
        <f>85.0879 * CHOOSE(CONTROL!$C$9, $C$13, 100%, $E$13) + CHOOSE(CONTROL!$C$28, 0.0021, 0)</f>
        <v>85.09</v>
      </c>
      <c r="E830" s="4">
        <f>408.687265797452 * CHOOSE(CONTROL!$C$9, $C$13, 100%, $E$13) + CHOOSE(CONTROL!$C$28, 0.0021, 0)</f>
        <v>408.68936579745201</v>
      </c>
    </row>
    <row r="831" spans="1:5" ht="15">
      <c r="A831" s="13">
        <v>66445</v>
      </c>
      <c r="B831" s="4">
        <f>56.8498 * CHOOSE(CONTROL!$C$9, $C$13, 100%, $E$13) + CHOOSE(CONTROL!$C$28, 0.0272, 0)</f>
        <v>56.877000000000002</v>
      </c>
      <c r="C831" s="4">
        <f>56.4865 * CHOOSE(CONTROL!$C$9, $C$13, 100%, $E$13) + CHOOSE(CONTROL!$C$28, 0.0272, 0)</f>
        <v>56.5137</v>
      </c>
      <c r="D831" s="4">
        <f>84.6881 * CHOOSE(CONTROL!$C$9, $C$13, 100%, $E$13) + CHOOSE(CONTROL!$C$28, 0.0021, 0)</f>
        <v>84.690200000000004</v>
      </c>
      <c r="E831" s="4">
        <f>399.640921638496 * CHOOSE(CONTROL!$C$9, $C$13, 100%, $E$13) + CHOOSE(CONTROL!$C$28, 0.0021, 0)</f>
        <v>399.64302163849601</v>
      </c>
    </row>
    <row r="832" spans="1:5" ht="15">
      <c r="A832" s="13">
        <v>66476</v>
      </c>
      <c r="B832" s="4">
        <f>55.9716 * CHOOSE(CONTROL!$C$9, $C$13, 100%, $E$13) + CHOOSE(CONTROL!$C$28, 0.0272, 0)</f>
        <v>55.998800000000003</v>
      </c>
      <c r="C832" s="4">
        <f>55.6083 * CHOOSE(CONTROL!$C$9, $C$13, 100%, $E$13) + CHOOSE(CONTROL!$C$28, 0.0272, 0)</f>
        <v>55.6355</v>
      </c>
      <c r="D832" s="4">
        <f>81.7446 * CHOOSE(CONTROL!$C$9, $C$13, 100%, $E$13) + CHOOSE(CONTROL!$C$28, 0.0021, 0)</f>
        <v>81.746700000000004</v>
      </c>
      <c r="E832" s="4">
        <f>393.382014337592 * CHOOSE(CONTROL!$C$9, $C$13, 100%, $E$13) + CHOOSE(CONTROL!$C$28, 0.0021, 0)</f>
        <v>393.384114337592</v>
      </c>
    </row>
    <row r="833" spans="1:5" ht="15">
      <c r="A833" s="13">
        <v>66507</v>
      </c>
      <c r="B833" s="4">
        <f>53.5688 * CHOOSE(CONTROL!$C$9, $C$13, 100%, $E$13) + CHOOSE(CONTROL!$C$28, 0.0272, 0)</f>
        <v>53.596000000000004</v>
      </c>
      <c r="C833" s="4">
        <f>53.2055 * CHOOSE(CONTROL!$C$9, $C$13, 100%, $E$13) + CHOOSE(CONTROL!$C$28, 0.0272, 0)</f>
        <v>53.232700000000001</v>
      </c>
      <c r="D833" s="4">
        <f>78.5021 * CHOOSE(CONTROL!$C$9, $C$13, 100%, $E$13) + CHOOSE(CONTROL!$C$28, 0.0021, 0)</f>
        <v>78.504199999999997</v>
      </c>
      <c r="E833" s="4">
        <f>376.996054967973 * CHOOSE(CONTROL!$C$9, $C$13, 100%, $E$13) + CHOOSE(CONTROL!$C$28, 0.0021, 0)</f>
        <v>376.99815496797299</v>
      </c>
    </row>
    <row r="834" spans="1:5" ht="15">
      <c r="A834" s="13">
        <v>66535</v>
      </c>
      <c r="B834" s="4">
        <f>54.8223 * CHOOSE(CONTROL!$C$9, $C$13, 100%, $E$13) + CHOOSE(CONTROL!$C$28, 0.0272, 0)</f>
        <v>54.849499999999999</v>
      </c>
      <c r="C834" s="4">
        <f>54.459 * CHOOSE(CONTROL!$C$9, $C$13, 100%, $E$13) + CHOOSE(CONTROL!$C$28, 0.0272, 0)</f>
        <v>54.486200000000004</v>
      </c>
      <c r="D834" s="4">
        <f>81.2074 * CHOOSE(CONTROL!$C$9, $C$13, 100%, $E$13) + CHOOSE(CONTROL!$C$28, 0.0021, 0)</f>
        <v>81.209500000000006</v>
      </c>
      <c r="E834" s="4">
        <f>385.947427020225 * CHOOSE(CONTROL!$C$9, $C$13, 100%, $E$13) + CHOOSE(CONTROL!$C$28, 0.0021, 0)</f>
        <v>385.94952702022499</v>
      </c>
    </row>
    <row r="835" spans="1:5" ht="15">
      <c r="A835" s="13">
        <v>66566</v>
      </c>
      <c r="B835" s="4">
        <f>58.1143 * CHOOSE(CONTROL!$C$9, $C$13, 100%, $E$13) + CHOOSE(CONTROL!$C$28, 0.0272, 0)</f>
        <v>58.141500000000001</v>
      </c>
      <c r="C835" s="4">
        <f>57.751 * CHOOSE(CONTROL!$C$9, $C$13, 100%, $E$13) + CHOOSE(CONTROL!$C$28, 0.0272, 0)</f>
        <v>57.778199999999998</v>
      </c>
      <c r="D835" s="4">
        <f>85.4424 * CHOOSE(CONTROL!$C$9, $C$13, 100%, $E$13) + CHOOSE(CONTROL!$C$28, 0.0021, 0)</f>
        <v>85.444500000000005</v>
      </c>
      <c r="E835" s="4">
        <f>409.454205734239 * CHOOSE(CONTROL!$C$9, $C$13, 100%, $E$13) + CHOOSE(CONTROL!$C$28, 0.0021, 0)</f>
        <v>409.45630573423898</v>
      </c>
    </row>
    <row r="836" spans="1:5" ht="15">
      <c r="A836" s="13">
        <v>66596</v>
      </c>
      <c r="B836" s="4">
        <f>60.4532 * CHOOSE(CONTROL!$C$9, $C$13, 100%, $E$13) + CHOOSE(CONTROL!$C$28, 0.0272, 0)</f>
        <v>60.480400000000003</v>
      </c>
      <c r="C836" s="4">
        <f>60.09 * CHOOSE(CONTROL!$C$9, $C$13, 100%, $E$13) + CHOOSE(CONTROL!$C$28, 0.0272, 0)</f>
        <v>60.117200000000004</v>
      </c>
      <c r="D836" s="4">
        <f>87.8818 * CHOOSE(CONTROL!$C$9, $C$13, 100%, $E$13) + CHOOSE(CONTROL!$C$28, 0.0021, 0)</f>
        <v>87.883899999999997</v>
      </c>
      <c r="E836" s="4">
        <f>426.156085279562 * CHOOSE(CONTROL!$C$9, $C$13, 100%, $E$13) + CHOOSE(CONTROL!$C$28, 0.0021, 0)</f>
        <v>426.15818527956196</v>
      </c>
    </row>
    <row r="837" spans="1:5" ht="15">
      <c r="A837" s="13">
        <v>66627</v>
      </c>
      <c r="B837" s="4">
        <f>61.8823 * CHOOSE(CONTROL!$C$9, $C$13, 100%, $E$13) + CHOOSE(CONTROL!$C$28, 0.0272, 0)</f>
        <v>61.909500000000001</v>
      </c>
      <c r="C837" s="4">
        <f>61.519 * CHOOSE(CONTROL!$C$9, $C$13, 100%, $E$13) + CHOOSE(CONTROL!$C$28, 0.0272, 0)</f>
        <v>61.546199999999999</v>
      </c>
      <c r="D837" s="4">
        <f>86.9179 * CHOOSE(CONTROL!$C$9, $C$13, 100%, $E$13) + CHOOSE(CONTROL!$C$28, 0.0021, 0)</f>
        <v>86.92</v>
      </c>
      <c r="E837" s="4">
        <f>436.360533393567 * CHOOSE(CONTROL!$C$9, $C$13, 100%, $E$13) + CHOOSE(CONTROL!$C$28, 0.0021, 0)</f>
        <v>436.36263339356697</v>
      </c>
    </row>
    <row r="838" spans="1:5" ht="15">
      <c r="A838" s="13">
        <v>66657</v>
      </c>
      <c r="B838" s="4">
        <f>62.0756 * CHOOSE(CONTROL!$C$9, $C$13, 100%, $E$13) + CHOOSE(CONTROL!$C$28, 0.0272, 0)</f>
        <v>62.102800000000002</v>
      </c>
      <c r="C838" s="4">
        <f>61.7124 * CHOOSE(CONTROL!$C$9, $C$13, 100%, $E$13) + CHOOSE(CONTROL!$C$28, 0.0272, 0)</f>
        <v>61.739600000000003</v>
      </c>
      <c r="D838" s="4">
        <f>87.7029 * CHOOSE(CONTROL!$C$9, $C$13, 100%, $E$13) + CHOOSE(CONTROL!$C$28, 0.0021, 0)</f>
        <v>87.704999999999998</v>
      </c>
      <c r="E838" s="4">
        <f>437.741237572722 * CHOOSE(CONTROL!$C$9, $C$13, 100%, $E$13) + CHOOSE(CONTROL!$C$28, 0.0021, 0)</f>
        <v>437.743337572722</v>
      </c>
    </row>
    <row r="839" spans="1:5" ht="15">
      <c r="A839" s="13">
        <v>66688</v>
      </c>
      <c r="B839" s="4">
        <f>62.0561 * CHOOSE(CONTROL!$C$9, $C$13, 100%, $E$13) + CHOOSE(CONTROL!$C$28, 0.0272, 0)</f>
        <v>62.083300000000001</v>
      </c>
      <c r="C839" s="4">
        <f>61.6929 * CHOOSE(CONTROL!$C$9, $C$13, 100%, $E$13) + CHOOSE(CONTROL!$C$28, 0.0272, 0)</f>
        <v>61.720100000000002</v>
      </c>
      <c r="D839" s="4">
        <f>89.1195 * CHOOSE(CONTROL!$C$9, $C$13, 100%, $E$13) + CHOOSE(CONTROL!$C$28, 0.0021, 0)</f>
        <v>89.121600000000001</v>
      </c>
      <c r="E839" s="4">
        <f>437.602006899194 * CHOOSE(CONTROL!$C$9, $C$13, 100%, $E$13) + CHOOSE(CONTROL!$C$28, 0.0021, 0)</f>
        <v>437.60410689919399</v>
      </c>
    </row>
    <row r="840" spans="1:5" ht="15">
      <c r="A840" s="13">
        <v>66719</v>
      </c>
      <c r="B840" s="4">
        <f>63.5234 * CHOOSE(CONTROL!$C$9, $C$13, 100%, $E$13) + CHOOSE(CONTROL!$C$28, 0.0272, 0)</f>
        <v>63.550600000000003</v>
      </c>
      <c r="C840" s="4">
        <f>63.1601 * CHOOSE(CONTROL!$C$9, $C$13, 100%, $E$13) + CHOOSE(CONTROL!$C$28, 0.0272, 0)</f>
        <v>63.1873</v>
      </c>
      <c r="D840" s="4">
        <f>88.184 * CHOOSE(CONTROL!$C$9, $C$13, 100%, $E$13) + CHOOSE(CONTROL!$C$28, 0.0021, 0)</f>
        <v>88.186099999999996</v>
      </c>
      <c r="E840" s="4">
        <f>448.079115082192 * CHOOSE(CONTROL!$C$9, $C$13, 100%, $E$13) + CHOOSE(CONTROL!$C$28, 0.0021, 0)</f>
        <v>448.08121508219199</v>
      </c>
    </row>
    <row r="841" spans="1:5" ht="15">
      <c r="A841" s="13">
        <v>66749</v>
      </c>
      <c r="B841" s="4">
        <f>61.0227 * CHOOSE(CONTROL!$C$9, $C$13, 100%, $E$13) + CHOOSE(CONTROL!$C$28, 0.0272, 0)</f>
        <v>61.049900000000001</v>
      </c>
      <c r="C841" s="4">
        <f>60.6595 * CHOOSE(CONTROL!$C$9, $C$13, 100%, $E$13) + CHOOSE(CONTROL!$C$28, 0.0272, 0)</f>
        <v>60.686700000000002</v>
      </c>
      <c r="D841" s="4">
        <f>87.742 * CHOOSE(CONTROL!$C$9, $C$13, 100%, $E$13) + CHOOSE(CONTROL!$C$28, 0.0021, 0)</f>
        <v>87.744100000000003</v>
      </c>
      <c r="E841" s="4">
        <f>430.222781202198 * CHOOSE(CONTROL!$C$9, $C$13, 100%, $E$13) + CHOOSE(CONTROL!$C$28, 0.0021, 0)</f>
        <v>430.22488120219799</v>
      </c>
    </row>
    <row r="842" spans="1:5" ht="15">
      <c r="A842" s="13">
        <v>66780</v>
      </c>
      <c r="B842" s="4">
        <f>59.0209 * CHOOSE(CONTROL!$C$9, $C$13, 100%, $E$13) + CHOOSE(CONTROL!$C$28, 0.0272, 0)</f>
        <v>59.048099999999998</v>
      </c>
      <c r="C842" s="4">
        <f>58.6577 * CHOOSE(CONTROL!$C$9, $C$13, 100%, $E$13) + CHOOSE(CONTROL!$C$28, 0.0272, 0)</f>
        <v>58.684899999999999</v>
      </c>
      <c r="D842" s="4">
        <f>86.5585 * CHOOSE(CONTROL!$C$9, $C$13, 100%, $E$13) + CHOOSE(CONTROL!$C$28, 0.0021, 0)</f>
        <v>86.560599999999994</v>
      </c>
      <c r="E842" s="4">
        <f>415.928432053301 * CHOOSE(CONTROL!$C$9, $C$13, 100%, $E$13) + CHOOSE(CONTROL!$C$28, 0.0021, 0)</f>
        <v>415.93053205330096</v>
      </c>
    </row>
    <row r="843" spans="1:5" ht="15">
      <c r="A843" s="13">
        <v>66810</v>
      </c>
      <c r="B843" s="4">
        <f>57.7316 * CHOOSE(CONTROL!$C$9, $C$13, 100%, $E$13) + CHOOSE(CONTROL!$C$28, 0.0272, 0)</f>
        <v>57.758800000000001</v>
      </c>
      <c r="C843" s="4">
        <f>57.3683 * CHOOSE(CONTROL!$C$9, $C$13, 100%, $E$13) + CHOOSE(CONTROL!$C$28, 0.0272, 0)</f>
        <v>57.395499999999998</v>
      </c>
      <c r="D843" s="4">
        <f>86.1516 * CHOOSE(CONTROL!$C$9, $C$13, 100%, $E$13) + CHOOSE(CONTROL!$C$28, 0.0021, 0)</f>
        <v>86.153700000000001</v>
      </c>
      <c r="E843" s="4">
        <f>406.721803766248 * CHOOSE(CONTROL!$C$9, $C$13, 100%, $E$13) + CHOOSE(CONTROL!$C$28, 0.0021, 0)</f>
        <v>406.72390376624799</v>
      </c>
    </row>
    <row r="844" spans="1:5" ht="15">
      <c r="A844" s="13">
        <v>66841</v>
      </c>
      <c r="B844" s="4">
        <f>56.8396 * CHOOSE(CONTROL!$C$9, $C$13, 100%, $E$13) + CHOOSE(CONTROL!$C$28, 0.0272, 0)</f>
        <v>56.866799999999998</v>
      </c>
      <c r="C844" s="4">
        <f>56.4763 * CHOOSE(CONTROL!$C$9, $C$13, 100%, $E$13) + CHOOSE(CONTROL!$C$28, 0.0272, 0)</f>
        <v>56.503500000000003</v>
      </c>
      <c r="D844" s="4">
        <f>83.1562 * CHOOSE(CONTROL!$C$9, $C$13, 100%, $E$13) + CHOOSE(CONTROL!$C$28, 0.0021, 0)</f>
        <v>83.158299999999997</v>
      </c>
      <c r="E844" s="4">
        <f>400.352000452332 * CHOOSE(CONTROL!$C$9, $C$13, 100%, $E$13) + CHOOSE(CONTROL!$C$28, 0.0021, 0)</f>
        <v>400.35410045233198</v>
      </c>
    </row>
    <row r="845" spans="1:5" ht="15">
      <c r="A845" s="13">
        <v>66872</v>
      </c>
      <c r="B845" s="4">
        <f>54.399 * CHOOSE(CONTROL!$C$9, $C$13, 100%, $E$13) + CHOOSE(CONTROL!$C$28, 0.0272, 0)</f>
        <v>54.426200000000001</v>
      </c>
      <c r="C845" s="4">
        <f>54.0357 * CHOOSE(CONTROL!$C$9, $C$13, 100%, $E$13) + CHOOSE(CONTROL!$C$28, 0.0272, 0)</f>
        <v>54.062899999999999</v>
      </c>
      <c r="D845" s="4">
        <f>79.8564 * CHOOSE(CONTROL!$C$9, $C$13, 100%, $E$13) + CHOOSE(CONTROL!$C$28, 0.0021, 0)</f>
        <v>79.858499999999992</v>
      </c>
      <c r="E845" s="4">
        <f>383.675712839122 * CHOOSE(CONTROL!$C$9, $C$13, 100%, $E$13) + CHOOSE(CONTROL!$C$28, 0.0021, 0)</f>
        <v>383.677812839122</v>
      </c>
    </row>
    <row r="846" spans="1:5" ht="15">
      <c r="A846" s="13">
        <v>66900</v>
      </c>
      <c r="B846" s="4">
        <f>55.6722 * CHOOSE(CONTROL!$C$9, $C$13, 100%, $E$13) + CHOOSE(CONTROL!$C$28, 0.0272, 0)</f>
        <v>55.699399999999997</v>
      </c>
      <c r="C846" s="4">
        <f>55.309 * CHOOSE(CONTROL!$C$9, $C$13, 100%, $E$13) + CHOOSE(CONTROL!$C$28, 0.0272, 0)</f>
        <v>55.336199999999998</v>
      </c>
      <c r="D846" s="4">
        <f>82.6095 * CHOOSE(CONTROL!$C$9, $C$13, 100%, $E$13) + CHOOSE(CONTROL!$C$28, 0.0021, 0)</f>
        <v>82.611599999999996</v>
      </c>
      <c r="E846" s="4">
        <f>392.785686293161 * CHOOSE(CONTROL!$C$9, $C$13, 100%, $E$13) + CHOOSE(CONTROL!$C$28, 0.0021, 0)</f>
        <v>392.78778629316099</v>
      </c>
    </row>
    <row r="847" spans="1:5" ht="15">
      <c r="A847" s="13">
        <v>66931</v>
      </c>
      <c r="B847" s="4">
        <f>59.0159 * CHOOSE(CONTROL!$C$9, $C$13, 100%, $E$13) + CHOOSE(CONTROL!$C$28, 0.0272, 0)</f>
        <v>59.043100000000003</v>
      </c>
      <c r="C847" s="4">
        <f>58.6527 * CHOOSE(CONTROL!$C$9, $C$13, 100%, $E$13) + CHOOSE(CONTROL!$C$28, 0.0272, 0)</f>
        <v>58.679900000000004</v>
      </c>
      <c r="D847" s="4">
        <f>86.9193 * CHOOSE(CONTROL!$C$9, $C$13, 100%, $E$13) + CHOOSE(CONTROL!$C$28, 0.0021, 0)</f>
        <v>86.921400000000006</v>
      </c>
      <c r="E847" s="4">
        <f>416.708960716861 * CHOOSE(CONTROL!$C$9, $C$13, 100%, $E$13) + CHOOSE(CONTROL!$C$28, 0.0021, 0)</f>
        <v>416.71106071686097</v>
      </c>
    </row>
    <row r="848" spans="1:5" ht="15">
      <c r="A848" s="13">
        <v>66961</v>
      </c>
      <c r="B848" s="4">
        <f>61.3917 * CHOOSE(CONTROL!$C$9, $C$13, 100%, $E$13) + CHOOSE(CONTROL!$C$28, 0.0272, 0)</f>
        <v>61.418900000000001</v>
      </c>
      <c r="C848" s="4">
        <f>61.0284 * CHOOSE(CONTROL!$C$9, $C$13, 100%, $E$13) + CHOOSE(CONTROL!$C$28, 0.0272, 0)</f>
        <v>61.055599999999998</v>
      </c>
      <c r="D848" s="4">
        <f>89.4018 * CHOOSE(CONTROL!$C$9, $C$13, 100%, $E$13) + CHOOSE(CONTROL!$C$28, 0.0021, 0)</f>
        <v>89.403899999999993</v>
      </c>
      <c r="E848" s="4">
        <f>433.70676601445 * CHOOSE(CONTROL!$C$9, $C$13, 100%, $E$13) + CHOOSE(CONTROL!$C$28, 0.0021, 0)</f>
        <v>433.70886601445</v>
      </c>
    </row>
    <row r="849" spans="1:5" ht="15">
      <c r="A849" s="13">
        <v>66992</v>
      </c>
      <c r="B849" s="4">
        <f>62.8432 * CHOOSE(CONTROL!$C$9, $C$13, 100%, $E$13) + CHOOSE(CONTROL!$C$28, 0.0272, 0)</f>
        <v>62.870400000000004</v>
      </c>
      <c r="C849" s="4">
        <f>62.4799 * CHOOSE(CONTROL!$C$9, $C$13, 100%, $E$13) + CHOOSE(CONTROL!$C$28, 0.0272, 0)</f>
        <v>62.507100000000001</v>
      </c>
      <c r="D849" s="4">
        <f>88.4208 * CHOOSE(CONTROL!$C$9, $C$13, 100%, $E$13) + CHOOSE(CONTROL!$C$28, 0.0021, 0)</f>
        <v>88.422899999999998</v>
      </c>
      <c r="E849" s="4">
        <f>444.09201767074 * CHOOSE(CONTROL!$C$9, $C$13, 100%, $E$13) + CHOOSE(CONTROL!$C$28, 0.0021, 0)</f>
        <v>444.09411767073999</v>
      </c>
    </row>
    <row r="850" spans="1:5" ht="15">
      <c r="A850" s="13">
        <v>67022</v>
      </c>
      <c r="B850" s="4">
        <f>63.0396 * CHOOSE(CONTROL!$C$9, $C$13, 100%, $E$13) + CHOOSE(CONTROL!$C$28, 0.0272, 0)</f>
        <v>63.066800000000001</v>
      </c>
      <c r="C850" s="4">
        <f>62.6763 * CHOOSE(CONTROL!$C$9, $C$13, 100%, $E$13) + CHOOSE(CONTROL!$C$28, 0.0272, 0)</f>
        <v>62.703499999999998</v>
      </c>
      <c r="D850" s="4">
        <f>89.2198 * CHOOSE(CONTROL!$C$9, $C$13, 100%, $E$13) + CHOOSE(CONTROL!$C$28, 0.0021, 0)</f>
        <v>89.221900000000005</v>
      </c>
      <c r="E850" s="4">
        <f>445.497185319516 * CHOOSE(CONTROL!$C$9, $C$13, 100%, $E$13) + CHOOSE(CONTROL!$C$28, 0.0021, 0)</f>
        <v>445.49928531951599</v>
      </c>
    </row>
    <row r="851" spans="1:5" ht="15">
      <c r="A851" s="13">
        <v>67053</v>
      </c>
      <c r="B851" s="4">
        <f>63.0198 * CHOOSE(CONTROL!$C$9, $C$13, 100%, $E$13) + CHOOSE(CONTROL!$C$28, 0.0272, 0)</f>
        <v>63.046999999999997</v>
      </c>
      <c r="C851" s="4">
        <f>62.6565 * CHOOSE(CONTROL!$C$9, $C$13, 100%, $E$13) + CHOOSE(CONTROL!$C$28, 0.0272, 0)</f>
        <v>62.683700000000002</v>
      </c>
      <c r="D851" s="4">
        <f>90.6613 * CHOOSE(CONTROL!$C$9, $C$13, 100%, $E$13) + CHOOSE(CONTROL!$C$28, 0.0021, 0)</f>
        <v>90.663399999999996</v>
      </c>
      <c r="E851" s="4">
        <f>445.355487741488 * CHOOSE(CONTROL!$C$9, $C$13, 100%, $E$13) + CHOOSE(CONTROL!$C$28, 0.0021, 0)</f>
        <v>445.35758774148798</v>
      </c>
    </row>
    <row r="852" spans="1:5" ht="15">
      <c r="A852" s="13">
        <v>67084</v>
      </c>
      <c r="B852" s="4">
        <f>64.5101 * CHOOSE(CONTROL!$C$9, $C$13, 100%, $E$13) + CHOOSE(CONTROL!$C$28, 0.0272, 0)</f>
        <v>64.537299999999988</v>
      </c>
      <c r="C852" s="4">
        <f>64.1468 * CHOOSE(CONTROL!$C$9, $C$13, 100%, $E$13) + CHOOSE(CONTROL!$C$28, 0.0272, 0)</f>
        <v>64.173999999999992</v>
      </c>
      <c r="D852" s="4">
        <f>89.7093 * CHOOSE(CONTROL!$C$9, $C$13, 100%, $E$13) + CHOOSE(CONTROL!$C$28, 0.0021, 0)</f>
        <v>89.711399999999998</v>
      </c>
      <c r="E852" s="4">
        <f>456.018230488083 * CHOOSE(CONTROL!$C$9, $C$13, 100%, $E$13) + CHOOSE(CONTROL!$C$28, 0.0021, 0)</f>
        <v>456.020330488083</v>
      </c>
    </row>
    <row r="853" spans="1:5" ht="15">
      <c r="A853" s="13">
        <v>67114</v>
      </c>
      <c r="B853" s="4">
        <f>61.9702 * CHOOSE(CONTROL!$C$9, $C$13, 100%, $E$13) + CHOOSE(CONTROL!$C$28, 0.0272, 0)</f>
        <v>61.997399999999999</v>
      </c>
      <c r="C853" s="4">
        <f>61.6069 * CHOOSE(CONTROL!$C$9, $C$13, 100%, $E$13) + CHOOSE(CONTROL!$C$28, 0.0272, 0)</f>
        <v>61.634100000000004</v>
      </c>
      <c r="D853" s="4">
        <f>89.2595 * CHOOSE(CONTROL!$C$9, $C$13, 100%, $E$13) + CHOOSE(CONTROL!$C$28, 0.0021, 0)</f>
        <v>89.261600000000001</v>
      </c>
      <c r="E853" s="4">
        <f>437.845516106013 * CHOOSE(CONTROL!$C$9, $C$13, 100%, $E$13) + CHOOSE(CONTROL!$C$28, 0.0021, 0)</f>
        <v>437.84761610601299</v>
      </c>
    </row>
    <row r="854" spans="1:5" ht="15">
      <c r="A854" s="13">
        <v>67145</v>
      </c>
      <c r="B854" s="4">
        <f>59.9369 * CHOOSE(CONTROL!$C$9, $C$13, 100%, $E$13) + CHOOSE(CONTROL!$C$28, 0.0272, 0)</f>
        <v>59.964100000000002</v>
      </c>
      <c r="C854" s="4">
        <f>59.5736 * CHOOSE(CONTROL!$C$9, $C$13, 100%, $E$13) + CHOOSE(CONTROL!$C$28, 0.0272, 0)</f>
        <v>59.6008</v>
      </c>
      <c r="D854" s="4">
        <f>88.0551 * CHOOSE(CONTROL!$C$9, $C$13, 100%, $E$13) + CHOOSE(CONTROL!$C$28, 0.0021, 0)</f>
        <v>88.057199999999995</v>
      </c>
      <c r="E854" s="4">
        <f>423.297898095155 * CHOOSE(CONTROL!$C$9, $C$13, 100%, $E$13) + CHOOSE(CONTROL!$C$28, 0.0021, 0)</f>
        <v>423.29999809515499</v>
      </c>
    </row>
    <row r="855" spans="1:5" ht="15">
      <c r="A855" s="13">
        <v>67175</v>
      </c>
      <c r="B855" s="4">
        <f>58.6273 * CHOOSE(CONTROL!$C$9, $C$13, 100%, $E$13) + CHOOSE(CONTROL!$C$28, 0.0272, 0)</f>
        <v>58.654499999999999</v>
      </c>
      <c r="C855" s="4">
        <f>58.264 * CHOOSE(CONTROL!$C$9, $C$13, 100%, $E$13) + CHOOSE(CONTROL!$C$28, 0.0272, 0)</f>
        <v>58.291200000000003</v>
      </c>
      <c r="D855" s="4">
        <f>87.6411 * CHOOSE(CONTROL!$C$9, $C$13, 100%, $E$13) + CHOOSE(CONTROL!$C$28, 0.0021, 0)</f>
        <v>87.643199999999993</v>
      </c>
      <c r="E855" s="4">
        <f>413.928145748064 * CHOOSE(CONTROL!$C$9, $C$13, 100%, $E$13) + CHOOSE(CONTROL!$C$28, 0.0021, 0)</f>
        <v>413.93024574806401</v>
      </c>
    </row>
    <row r="856" spans="1:5" ht="15">
      <c r="A856" s="13">
        <v>67206</v>
      </c>
      <c r="B856" s="4">
        <f>57.7212 * CHOOSE(CONTROL!$C$9, $C$13, 100%, $E$13) + CHOOSE(CONTROL!$C$28, 0.0272, 0)</f>
        <v>57.748400000000004</v>
      </c>
      <c r="C856" s="4">
        <f>57.3579 * CHOOSE(CONTROL!$C$9, $C$13, 100%, $E$13) + CHOOSE(CONTROL!$C$28, 0.0272, 0)</f>
        <v>57.385100000000001</v>
      </c>
      <c r="D856" s="4">
        <f>84.5927 * CHOOSE(CONTROL!$C$9, $C$13, 100%, $E$13) + CHOOSE(CONTROL!$C$28, 0.0021, 0)</f>
        <v>84.594799999999992</v>
      </c>
      <c r="E856" s="4">
        <f>407.445481553291 * CHOOSE(CONTROL!$C$9, $C$13, 100%, $E$13) + CHOOSE(CONTROL!$C$28, 0.0021, 0)</f>
        <v>407.447581553291</v>
      </c>
    </row>
    <row r="857" spans="1:5" ht="15">
      <c r="A857" s="13">
        <v>67237</v>
      </c>
      <c r="B857" s="4">
        <f>55.2422 * CHOOSE(CONTROL!$C$9, $C$13, 100%, $E$13) + CHOOSE(CONTROL!$C$28, 0.0272, 0)</f>
        <v>55.269399999999997</v>
      </c>
      <c r="C857" s="4">
        <f>54.8789 * CHOOSE(CONTROL!$C$9, $C$13, 100%, $E$13) + CHOOSE(CONTROL!$C$28, 0.0272, 0)</f>
        <v>54.906100000000002</v>
      </c>
      <c r="D857" s="4">
        <f>81.2346 * CHOOSE(CONTROL!$C$9, $C$13, 100%, $E$13) + CHOOSE(CONTROL!$C$28, 0.0021, 0)</f>
        <v>81.236699999999999</v>
      </c>
      <c r="E857" s="4">
        <f>390.473721628503 * CHOOSE(CONTROL!$C$9, $C$13, 100%, $E$13) + CHOOSE(CONTROL!$C$28, 0.0021, 0)</f>
        <v>390.47582162850296</v>
      </c>
    </row>
    <row r="858" spans="1:5" ht="15">
      <c r="A858" s="13">
        <v>67266</v>
      </c>
      <c r="B858" s="4">
        <f>56.5355 * CHOOSE(CONTROL!$C$9, $C$13, 100%, $E$13) + CHOOSE(CONTROL!$C$28, 0.0272, 0)</f>
        <v>56.5627</v>
      </c>
      <c r="C858" s="4">
        <f>56.1722 * CHOOSE(CONTROL!$C$9, $C$13, 100%, $E$13) + CHOOSE(CONTROL!$C$28, 0.0272, 0)</f>
        <v>56.199399999999997</v>
      </c>
      <c r="D858" s="4">
        <f>84.0364 * CHOOSE(CONTROL!$C$9, $C$13, 100%, $E$13) + CHOOSE(CONTROL!$C$28, 0.0021, 0)</f>
        <v>84.038499999999999</v>
      </c>
      <c r="E858" s="4">
        <f>399.74510660154 * CHOOSE(CONTROL!$C$9, $C$13, 100%, $E$13) + CHOOSE(CONTROL!$C$28, 0.0021, 0)</f>
        <v>399.74720660153997</v>
      </c>
    </row>
    <row r="859" spans="1:5" ht="15">
      <c r="A859" s="13">
        <v>67297</v>
      </c>
      <c r="B859" s="4">
        <f>59.9318 * CHOOSE(CONTROL!$C$9, $C$13, 100%, $E$13) + CHOOSE(CONTROL!$C$28, 0.0272, 0)</f>
        <v>59.959000000000003</v>
      </c>
      <c r="C859" s="4">
        <f>59.5685 * CHOOSE(CONTROL!$C$9, $C$13, 100%, $E$13) + CHOOSE(CONTROL!$C$28, 0.0272, 0)</f>
        <v>59.595700000000001</v>
      </c>
      <c r="D859" s="4">
        <f>88.4223 * CHOOSE(CONTROL!$C$9, $C$13, 100%, $E$13) + CHOOSE(CONTROL!$C$28, 0.0021, 0)</f>
        <v>88.424400000000006</v>
      </c>
      <c r="E859" s="4">
        <f>424.092256252054 * CHOOSE(CONTROL!$C$9, $C$13, 100%, $E$13) + CHOOSE(CONTROL!$C$28, 0.0021, 0)</f>
        <v>424.09435625205401</v>
      </c>
    </row>
    <row r="860" spans="1:5" ht="15">
      <c r="A860" s="13">
        <v>67327</v>
      </c>
      <c r="B860" s="4">
        <f>62.3449 * CHOOSE(CONTROL!$C$9, $C$13, 100%, $E$13) + CHOOSE(CONTROL!$C$28, 0.0272, 0)</f>
        <v>62.372100000000003</v>
      </c>
      <c r="C860" s="4">
        <f>61.9816 * CHOOSE(CONTROL!$C$9, $C$13, 100%, $E$13) + CHOOSE(CONTROL!$C$28, 0.0272, 0)</f>
        <v>62.008800000000001</v>
      </c>
      <c r="D860" s="4">
        <f>90.9487 * CHOOSE(CONTROL!$C$9, $C$13, 100%, $E$13) + CHOOSE(CONTROL!$C$28, 0.0021, 0)</f>
        <v>90.950800000000001</v>
      </c>
      <c r="E860" s="4">
        <f>441.391230547176 * CHOOSE(CONTROL!$C$9, $C$13, 100%, $E$13) + CHOOSE(CONTROL!$C$28, 0.0021, 0)</f>
        <v>441.39333054717599</v>
      </c>
    </row>
    <row r="861" spans="1:5" ht="15">
      <c r="A861" s="13">
        <v>67358</v>
      </c>
      <c r="B861" s="4">
        <f>63.8193 * CHOOSE(CONTROL!$C$9, $C$13, 100%, $E$13) + CHOOSE(CONTROL!$C$28, 0.0272, 0)</f>
        <v>63.846499999999999</v>
      </c>
      <c r="C861" s="4">
        <f>63.456 * CHOOSE(CONTROL!$C$9, $C$13, 100%, $E$13) + CHOOSE(CONTROL!$C$28, 0.0272, 0)</f>
        <v>63.483200000000004</v>
      </c>
      <c r="D861" s="4">
        <f>89.9504 * CHOOSE(CONTROL!$C$9, $C$13, 100%, $E$13) + CHOOSE(CONTROL!$C$28, 0.0021, 0)</f>
        <v>89.952500000000001</v>
      </c>
      <c r="E861" s="4">
        <f>451.960489242945 * CHOOSE(CONTROL!$C$9, $C$13, 100%, $E$13) + CHOOSE(CONTROL!$C$28, 0.0021, 0)</f>
        <v>451.962589242945</v>
      </c>
    </row>
    <row r="862" spans="1:5" ht="15">
      <c r="A862" s="13">
        <v>67388</v>
      </c>
      <c r="B862" s="4">
        <f>64.0187 * CHOOSE(CONTROL!$C$9, $C$13, 100%, $E$13) + CHOOSE(CONTROL!$C$28, 0.0272, 0)</f>
        <v>64.045899999999989</v>
      </c>
      <c r="C862" s="4">
        <f>63.6555 * CHOOSE(CONTROL!$C$9, $C$13, 100%, $E$13) + CHOOSE(CONTROL!$C$28, 0.0272, 0)</f>
        <v>63.682700000000004</v>
      </c>
      <c r="D862" s="4">
        <f>90.7634 * CHOOSE(CONTROL!$C$9, $C$13, 100%, $E$13) + CHOOSE(CONTROL!$C$28, 0.0021, 0)</f>
        <v>90.765500000000003</v>
      </c>
      <c r="E862" s="4">
        <f>453.390553807807 * CHOOSE(CONTROL!$C$9, $C$13, 100%, $E$13) + CHOOSE(CONTROL!$C$28, 0.0021, 0)</f>
        <v>453.39265380780699</v>
      </c>
    </row>
    <row r="863" spans="1:5" ht="15">
      <c r="A863" s="13">
        <v>67419</v>
      </c>
      <c r="B863" s="4">
        <f>63.9986 * CHOOSE(CONTROL!$C$9, $C$13, 100%, $E$13) + CHOOSE(CONTROL!$C$28, 0.0272, 0)</f>
        <v>64.025800000000004</v>
      </c>
      <c r="C863" s="4">
        <f>63.6353 * CHOOSE(CONTROL!$C$9, $C$13, 100%, $E$13) + CHOOSE(CONTROL!$C$28, 0.0272, 0)</f>
        <v>63.662500000000001</v>
      </c>
      <c r="D863" s="4">
        <f>92.2305 * CHOOSE(CONTROL!$C$9, $C$13, 100%, $E$13) + CHOOSE(CONTROL!$C$28, 0.0021, 0)</f>
        <v>92.232600000000005</v>
      </c>
      <c r="E863" s="4">
        <f>453.246345616392 * CHOOSE(CONTROL!$C$9, $C$13, 100%, $E$13) + CHOOSE(CONTROL!$C$28, 0.0021, 0)</f>
        <v>453.24844561639196</v>
      </c>
    </row>
    <row r="864" spans="1:5" ht="15">
      <c r="A864" s="13">
        <v>67450</v>
      </c>
      <c r="B864" s="4">
        <f>65.5124 * CHOOSE(CONTROL!$C$9, $C$13, 100%, $E$13) + CHOOSE(CONTROL!$C$28, 0.0272, 0)</f>
        <v>65.539599999999993</v>
      </c>
      <c r="C864" s="4">
        <f>65.1491 * CHOOSE(CONTROL!$C$9, $C$13, 100%, $E$13) + CHOOSE(CONTROL!$C$28, 0.0272, 0)</f>
        <v>65.176299999999998</v>
      </c>
      <c r="D864" s="4">
        <f>91.2616 * CHOOSE(CONTROL!$C$9, $C$13, 100%, $E$13) + CHOOSE(CONTROL!$C$28, 0.0021, 0)</f>
        <v>91.2637</v>
      </c>
      <c r="E864" s="4">
        <f>464.098012020348 * CHOOSE(CONTROL!$C$9, $C$13, 100%, $E$13) + CHOOSE(CONTROL!$C$28, 0.0021, 0)</f>
        <v>464.10011202034798</v>
      </c>
    </row>
    <row r="865" spans="1:5" ht="15">
      <c r="A865" s="13">
        <v>67480</v>
      </c>
      <c r="B865" s="4">
        <f>62.9325 * CHOOSE(CONTROL!$C$9, $C$13, 100%, $E$13) + CHOOSE(CONTROL!$C$28, 0.0272, 0)</f>
        <v>62.959699999999998</v>
      </c>
      <c r="C865" s="4">
        <f>62.5692 * CHOOSE(CONTROL!$C$9, $C$13, 100%, $E$13) + CHOOSE(CONTROL!$C$28, 0.0272, 0)</f>
        <v>62.596400000000003</v>
      </c>
      <c r="D865" s="4">
        <f>90.8039 * CHOOSE(CONTROL!$C$9, $C$13, 100%, $E$13) + CHOOSE(CONTROL!$C$28, 0.0021, 0)</f>
        <v>90.805999999999997</v>
      </c>
      <c r="E865" s="4">
        <f>445.603311471413 * CHOOSE(CONTROL!$C$9, $C$13, 100%, $E$13) + CHOOSE(CONTROL!$C$28, 0.0021, 0)</f>
        <v>445.60541147141299</v>
      </c>
    </row>
    <row r="866" spans="1:5" ht="15">
      <c r="A866" s="13">
        <v>67511</v>
      </c>
      <c r="B866" s="4">
        <f>60.8672 * CHOOSE(CONTROL!$C$9, $C$13, 100%, $E$13) + CHOOSE(CONTROL!$C$28, 0.0272, 0)</f>
        <v>60.894399999999997</v>
      </c>
      <c r="C866" s="4">
        <f>60.5039 * CHOOSE(CONTROL!$C$9, $C$13, 100%, $E$13) + CHOOSE(CONTROL!$C$28, 0.0272, 0)</f>
        <v>60.531100000000002</v>
      </c>
      <c r="D866" s="4">
        <f>89.5782 * CHOOSE(CONTROL!$C$9, $C$13, 100%, $E$13) + CHOOSE(CONTROL!$C$28, 0.0021, 0)</f>
        <v>89.580299999999994</v>
      </c>
      <c r="E866" s="4">
        <f>430.797937152838 * CHOOSE(CONTROL!$C$9, $C$13, 100%, $E$13) + CHOOSE(CONTROL!$C$28, 0.0021, 0)</f>
        <v>430.800037152838</v>
      </c>
    </row>
    <row r="867" spans="1:5" ht="15">
      <c r="A867" s="13">
        <v>67541</v>
      </c>
      <c r="B867" s="4">
        <f>59.537 * CHOOSE(CONTROL!$C$9, $C$13, 100%, $E$13) + CHOOSE(CONTROL!$C$28, 0.0272, 0)</f>
        <v>59.5642</v>
      </c>
      <c r="C867" s="4">
        <f>59.1737 * CHOOSE(CONTROL!$C$9, $C$13, 100%, $E$13) + CHOOSE(CONTROL!$C$28, 0.0272, 0)</f>
        <v>59.200899999999997</v>
      </c>
      <c r="D867" s="4">
        <f>89.1568 * CHOOSE(CONTROL!$C$9, $C$13, 100%, $E$13) + CHOOSE(CONTROL!$C$28, 0.0021, 0)</f>
        <v>89.158900000000003</v>
      </c>
      <c r="E867" s="4">
        <f>421.262170495541 * CHOOSE(CONTROL!$C$9, $C$13, 100%, $E$13) + CHOOSE(CONTROL!$C$28, 0.0021, 0)</f>
        <v>421.26427049554098</v>
      </c>
    </row>
    <row r="868" spans="1:5" ht="15">
      <c r="A868" s="13">
        <v>67572</v>
      </c>
      <c r="B868" s="4">
        <f>58.6167 * CHOOSE(CONTROL!$C$9, $C$13, 100%, $E$13) + CHOOSE(CONTROL!$C$28, 0.0272, 0)</f>
        <v>58.643900000000002</v>
      </c>
      <c r="C868" s="4">
        <f>58.2534 * CHOOSE(CONTROL!$C$9, $C$13, 100%, $E$13) + CHOOSE(CONTROL!$C$28, 0.0272, 0)</f>
        <v>58.2806</v>
      </c>
      <c r="D868" s="4">
        <f>86.0546 * CHOOSE(CONTROL!$C$9, $C$13, 100%, $E$13) + CHOOSE(CONTROL!$C$28, 0.0021, 0)</f>
        <v>86.056699999999992</v>
      </c>
      <c r="E868" s="4">
        <f>414.664645738319 * CHOOSE(CONTROL!$C$9, $C$13, 100%, $E$13) + CHOOSE(CONTROL!$C$28, 0.0021, 0)</f>
        <v>414.66674573831898</v>
      </c>
    </row>
    <row r="869" spans="1:5" ht="15">
      <c r="A869" s="13">
        <v>67603</v>
      </c>
      <c r="B869" s="4">
        <f>56.0987 * CHOOSE(CONTROL!$C$9, $C$13, 100%, $E$13) + CHOOSE(CONTROL!$C$28, 0.0272, 0)</f>
        <v>56.125900000000001</v>
      </c>
      <c r="C869" s="4">
        <f>55.7355 * CHOOSE(CONTROL!$C$9, $C$13, 100%, $E$13) + CHOOSE(CONTROL!$C$28, 0.0272, 0)</f>
        <v>55.762700000000002</v>
      </c>
      <c r="D869" s="4">
        <f>82.6372 * CHOOSE(CONTROL!$C$9, $C$13, 100%, $E$13) + CHOOSE(CONTROL!$C$28, 0.0021, 0)</f>
        <v>82.639300000000006</v>
      </c>
      <c r="E869" s="4">
        <f>397.392178290799 * CHOOSE(CONTROL!$C$9, $C$13, 100%, $E$13) + CHOOSE(CONTROL!$C$28, 0.0021, 0)</f>
        <v>397.39427829079898</v>
      </c>
    </row>
    <row r="870" spans="1:5" ht="15">
      <c r="A870" s="13">
        <v>67631</v>
      </c>
      <c r="B870" s="4">
        <f>57.4124 * CHOOSE(CONTROL!$C$9, $C$13, 100%, $E$13) + CHOOSE(CONTROL!$C$28, 0.0272, 0)</f>
        <v>57.439599999999999</v>
      </c>
      <c r="C870" s="4">
        <f>57.0491 * CHOOSE(CONTROL!$C$9, $C$13, 100%, $E$13) + CHOOSE(CONTROL!$C$28, 0.0272, 0)</f>
        <v>57.076300000000003</v>
      </c>
      <c r="D870" s="4">
        <f>85.4884 * CHOOSE(CONTROL!$C$9, $C$13, 100%, $E$13) + CHOOSE(CONTROL!$C$28, 0.0021, 0)</f>
        <v>85.490499999999997</v>
      </c>
      <c r="E870" s="4">
        <f>406.82783469001 * CHOOSE(CONTROL!$C$9, $C$13, 100%, $E$13) + CHOOSE(CONTROL!$C$28, 0.0021, 0)</f>
        <v>406.82993469000996</v>
      </c>
    </row>
    <row r="871" spans="1:5" ht="15">
      <c r="A871" s="13">
        <v>67662</v>
      </c>
      <c r="B871" s="4">
        <f>60.8621 * CHOOSE(CONTROL!$C$9, $C$13, 100%, $E$13) + CHOOSE(CONTROL!$C$28, 0.0272, 0)</f>
        <v>60.889299999999999</v>
      </c>
      <c r="C871" s="4">
        <f>60.4988 * CHOOSE(CONTROL!$C$9, $C$13, 100%, $E$13) + CHOOSE(CONTROL!$C$28, 0.0272, 0)</f>
        <v>60.526000000000003</v>
      </c>
      <c r="D871" s="4">
        <f>89.9518 * CHOOSE(CONTROL!$C$9, $C$13, 100%, $E$13) + CHOOSE(CONTROL!$C$28, 0.0021, 0)</f>
        <v>89.953900000000004</v>
      </c>
      <c r="E871" s="4">
        <f>431.606369835572 * CHOOSE(CONTROL!$C$9, $C$13, 100%, $E$13) + CHOOSE(CONTROL!$C$28, 0.0021, 0)</f>
        <v>431.60846983557201</v>
      </c>
    </row>
    <row r="872" spans="1:5" ht="15">
      <c r="A872" s="13">
        <v>67692</v>
      </c>
      <c r="B872" s="4">
        <f>63.3131 * CHOOSE(CONTROL!$C$9, $C$13, 100%, $E$13) + CHOOSE(CONTROL!$C$28, 0.0272, 0)</f>
        <v>63.340299999999999</v>
      </c>
      <c r="C872" s="4">
        <f>62.9498 * CHOOSE(CONTROL!$C$9, $C$13, 100%, $E$13) + CHOOSE(CONTROL!$C$28, 0.0272, 0)</f>
        <v>62.977000000000004</v>
      </c>
      <c r="D872" s="4">
        <f>92.5229 * CHOOSE(CONTROL!$C$9, $C$13, 100%, $E$13) + CHOOSE(CONTROL!$C$28, 0.0021, 0)</f>
        <v>92.525000000000006</v>
      </c>
      <c r="E872" s="4">
        <f>449.211849273892 * CHOOSE(CONTROL!$C$9, $C$13, 100%, $E$13) + CHOOSE(CONTROL!$C$28, 0.0021, 0)</f>
        <v>449.21394927389201</v>
      </c>
    </row>
    <row r="873" spans="1:5" ht="15">
      <c r="A873" s="13">
        <v>67723</v>
      </c>
      <c r="B873" s="4">
        <f>64.8107 * CHOOSE(CONTROL!$C$9, $C$13, 100%, $E$13) + CHOOSE(CONTROL!$C$28, 0.0272, 0)</f>
        <v>64.837899999999991</v>
      </c>
      <c r="C873" s="4">
        <f>64.4474 * CHOOSE(CONTROL!$C$9, $C$13, 100%, $E$13) + CHOOSE(CONTROL!$C$28, 0.0272, 0)</f>
        <v>64.474599999999995</v>
      </c>
      <c r="D873" s="4">
        <f>91.5069 * CHOOSE(CONTROL!$C$9, $C$13, 100%, $E$13) + CHOOSE(CONTROL!$C$28, 0.0021, 0)</f>
        <v>91.509</v>
      </c>
      <c r="E873" s="4">
        <f>459.968375266251 * CHOOSE(CONTROL!$C$9, $C$13, 100%, $E$13) + CHOOSE(CONTROL!$C$28, 0.0021, 0)</f>
        <v>459.97047526625096</v>
      </c>
    </row>
    <row r="874" spans="1:5" ht="15">
      <c r="A874" s="13">
        <v>67753</v>
      </c>
      <c r="B874" s="4">
        <f>65.0133 * CHOOSE(CONTROL!$C$9, $C$13, 100%, $E$13) + CHOOSE(CONTROL!$C$28, 0.0272, 0)</f>
        <v>65.040499999999994</v>
      </c>
      <c r="C874" s="4">
        <f>64.65 * CHOOSE(CONTROL!$C$9, $C$13, 100%, $E$13) + CHOOSE(CONTROL!$C$28, 0.0272, 0)</f>
        <v>64.677199999999999</v>
      </c>
      <c r="D874" s="4">
        <f>92.3343 * CHOOSE(CONTROL!$C$9, $C$13, 100%, $E$13) + CHOOSE(CONTROL!$C$28, 0.0021, 0)</f>
        <v>92.336399999999998</v>
      </c>
      <c r="E874" s="4">
        <f>461.423777873518 * CHOOSE(CONTROL!$C$9, $C$13, 100%, $E$13) + CHOOSE(CONTROL!$C$28, 0.0021, 0)</f>
        <v>461.425877873518</v>
      </c>
    </row>
    <row r="875" spans="1:5" ht="15">
      <c r="A875" s="13">
        <v>67784</v>
      </c>
      <c r="B875" s="4">
        <f>64.9928 * CHOOSE(CONTROL!$C$9, $C$13, 100%, $E$13) + CHOOSE(CONTROL!$C$28, 0.0272, 0)</f>
        <v>65.02</v>
      </c>
      <c r="C875" s="4">
        <f>64.6296 * CHOOSE(CONTROL!$C$9, $C$13, 100%, $E$13) + CHOOSE(CONTROL!$C$28, 0.0272, 0)</f>
        <v>64.65679999999999</v>
      </c>
      <c r="D875" s="4">
        <f>93.8273 * CHOOSE(CONTROL!$C$9, $C$13, 100%, $E$13) + CHOOSE(CONTROL!$C$28, 0.0021, 0)</f>
        <v>93.829399999999993</v>
      </c>
      <c r="E875" s="4">
        <f>461.27701458539 * CHOOSE(CONTROL!$C$9, $C$13, 100%, $E$13) + CHOOSE(CONTROL!$C$28, 0.0021, 0)</f>
        <v>461.27911458539</v>
      </c>
    </row>
    <row r="876" spans="1:5" ht="15">
      <c r="A876" s="13">
        <v>67815</v>
      </c>
      <c r="B876" s="4">
        <f>66.5304 * CHOOSE(CONTROL!$C$9, $C$13, 100%, $E$13) + CHOOSE(CONTROL!$C$28, 0.0272, 0)</f>
        <v>66.557599999999994</v>
      </c>
      <c r="C876" s="4">
        <f>66.1671 * CHOOSE(CONTROL!$C$9, $C$13, 100%, $E$13) + CHOOSE(CONTROL!$C$28, 0.0272, 0)</f>
        <v>66.194299999999998</v>
      </c>
      <c r="D876" s="4">
        <f>92.8413 * CHOOSE(CONTROL!$C$9, $C$13, 100%, $E$13) + CHOOSE(CONTROL!$C$28, 0.0021, 0)</f>
        <v>92.843400000000003</v>
      </c>
      <c r="E876" s="4">
        <f>472.320952017 * CHOOSE(CONTROL!$C$9, $C$13, 100%, $E$13) + CHOOSE(CONTROL!$C$28, 0.0021, 0)</f>
        <v>472.32305201700001</v>
      </c>
    </row>
    <row r="877" spans="1:5" ht="15">
      <c r="A877" s="13">
        <v>67845</v>
      </c>
      <c r="B877" s="4">
        <f>63.9099 * CHOOSE(CONTROL!$C$9, $C$13, 100%, $E$13) + CHOOSE(CONTROL!$C$28, 0.0272, 0)</f>
        <v>63.937100000000001</v>
      </c>
      <c r="C877" s="4">
        <f>63.5466 * CHOOSE(CONTROL!$C$9, $C$13, 100%, $E$13) + CHOOSE(CONTROL!$C$28, 0.0272, 0)</f>
        <v>63.573799999999999</v>
      </c>
      <c r="D877" s="4">
        <f>92.3755 * CHOOSE(CONTROL!$C$9, $C$13, 100%, $E$13) + CHOOSE(CONTROL!$C$28, 0.0021, 0)</f>
        <v>92.377600000000001</v>
      </c>
      <c r="E877" s="4">
        <f>453.498560314622 * CHOOSE(CONTROL!$C$9, $C$13, 100%, $E$13) + CHOOSE(CONTROL!$C$28, 0.0021, 0)</f>
        <v>453.500660314622</v>
      </c>
    </row>
    <row r="878" spans="1:5" ht="15">
      <c r="A878" s="13">
        <v>67876</v>
      </c>
      <c r="B878" s="4">
        <f>61.8122 * CHOOSE(CONTROL!$C$9, $C$13, 100%, $E$13) + CHOOSE(CONTROL!$C$28, 0.0272, 0)</f>
        <v>61.839399999999998</v>
      </c>
      <c r="C878" s="4">
        <f>61.4489 * CHOOSE(CONTROL!$C$9, $C$13, 100%, $E$13) + CHOOSE(CONTROL!$C$28, 0.0272, 0)</f>
        <v>61.476100000000002</v>
      </c>
      <c r="D878" s="4">
        <f>91.1282 * CHOOSE(CONTROL!$C$9, $C$13, 100%, $E$13) + CHOOSE(CONTROL!$C$28, 0.0021, 0)</f>
        <v>91.130300000000005</v>
      </c>
      <c r="E878" s="4">
        <f>438.43086273351 * CHOOSE(CONTROL!$C$9, $C$13, 100%, $E$13) + CHOOSE(CONTROL!$C$28, 0.0021, 0)</f>
        <v>438.43296273351001</v>
      </c>
    </row>
    <row r="879" spans="1:5" ht="15">
      <c r="A879" s="13">
        <v>67906</v>
      </c>
      <c r="B879" s="4">
        <f>60.4611 * CHOOSE(CONTROL!$C$9, $C$13, 100%, $E$13) + CHOOSE(CONTROL!$C$28, 0.0272, 0)</f>
        <v>60.488300000000002</v>
      </c>
      <c r="C879" s="4">
        <f>60.0978 * CHOOSE(CONTROL!$C$9, $C$13, 100%, $E$13) + CHOOSE(CONTROL!$C$28, 0.0272, 0)</f>
        <v>60.125</v>
      </c>
      <c r="D879" s="4">
        <f>90.6993 * CHOOSE(CONTROL!$C$9, $C$13, 100%, $E$13) + CHOOSE(CONTROL!$C$28, 0.0021, 0)</f>
        <v>90.701399999999992</v>
      </c>
      <c r="E879" s="4">
        <f>428.726140306065 * CHOOSE(CONTROL!$C$9, $C$13, 100%, $E$13) + CHOOSE(CONTROL!$C$28, 0.0021, 0)</f>
        <v>428.728240306065</v>
      </c>
    </row>
    <row r="880" spans="1:5" ht="15">
      <c r="A880" s="13">
        <v>67937</v>
      </c>
      <c r="B880" s="4">
        <f>59.5263 * CHOOSE(CONTROL!$C$9, $C$13, 100%, $E$13) + CHOOSE(CONTROL!$C$28, 0.0272, 0)</f>
        <v>59.5535</v>
      </c>
      <c r="C880" s="4">
        <f>59.163 * CHOOSE(CONTROL!$C$9, $C$13, 100%, $E$13) + CHOOSE(CONTROL!$C$28, 0.0272, 0)</f>
        <v>59.190199999999997</v>
      </c>
      <c r="D880" s="4">
        <f>87.5423 * CHOOSE(CONTROL!$C$9, $C$13, 100%, $E$13) + CHOOSE(CONTROL!$C$28, 0.0021, 0)</f>
        <v>87.544399999999996</v>
      </c>
      <c r="E880" s="4">
        <f>422.011719874223 * CHOOSE(CONTROL!$C$9, $C$13, 100%, $E$13) + CHOOSE(CONTROL!$C$28, 0.0021, 0)</f>
        <v>422.01381987422297</v>
      </c>
    </row>
    <row r="881" spans="1:5" ht="15">
      <c r="A881" s="13">
        <v>67968</v>
      </c>
      <c r="B881" s="4">
        <f>56.9687 * CHOOSE(CONTROL!$C$9, $C$13, 100%, $E$13) + CHOOSE(CONTROL!$C$28, 0.0272, 0)</f>
        <v>56.995899999999999</v>
      </c>
      <c r="C881" s="4">
        <f>56.6054 * CHOOSE(CONTROL!$C$9, $C$13, 100%, $E$13) + CHOOSE(CONTROL!$C$28, 0.0272, 0)</f>
        <v>56.632600000000004</v>
      </c>
      <c r="D881" s="4">
        <f>84.0645 * CHOOSE(CONTROL!$C$9, $C$13, 100%, $E$13) + CHOOSE(CONTROL!$C$28, 0.0021, 0)</f>
        <v>84.066599999999994</v>
      </c>
      <c r="E881" s="4">
        <f>404.433216934768 * CHOOSE(CONTROL!$C$9, $C$13, 100%, $E$13) + CHOOSE(CONTROL!$C$28, 0.0021, 0)</f>
        <v>404.43531693476797</v>
      </c>
    </row>
    <row r="882" spans="1:5" ht="15">
      <c r="A882" s="13">
        <v>67996</v>
      </c>
      <c r="B882" s="4">
        <f>58.303 * CHOOSE(CONTROL!$C$9, $C$13, 100%, $E$13) + CHOOSE(CONTROL!$C$28, 0.0272, 0)</f>
        <v>58.330199999999998</v>
      </c>
      <c r="C882" s="4">
        <f>57.9397 * CHOOSE(CONTROL!$C$9, $C$13, 100%, $E$13) + CHOOSE(CONTROL!$C$28, 0.0272, 0)</f>
        <v>57.966900000000003</v>
      </c>
      <c r="D882" s="4">
        <f>86.9661 * CHOOSE(CONTROL!$C$9, $C$13, 100%, $E$13) + CHOOSE(CONTROL!$C$28, 0.0021, 0)</f>
        <v>86.968199999999996</v>
      </c>
      <c r="E882" s="4">
        <f>414.036055339482 * CHOOSE(CONTROL!$C$9, $C$13, 100%, $E$13) + CHOOSE(CONTROL!$C$28, 0.0021, 0)</f>
        <v>414.03815533948199</v>
      </c>
    </row>
    <row r="883" spans="1:5" ht="15">
      <c r="A883" s="13">
        <v>68027</v>
      </c>
      <c r="B883" s="4">
        <f>61.807 * CHOOSE(CONTROL!$C$9, $C$13, 100%, $E$13) + CHOOSE(CONTROL!$C$28, 0.0272, 0)</f>
        <v>61.834200000000003</v>
      </c>
      <c r="C883" s="4">
        <f>61.4437 * CHOOSE(CONTROL!$C$9, $C$13, 100%, $E$13) + CHOOSE(CONTROL!$C$28, 0.0272, 0)</f>
        <v>61.4709</v>
      </c>
      <c r="D883" s="4">
        <f>91.5084 * CHOOSE(CONTROL!$C$9, $C$13, 100%, $E$13) + CHOOSE(CONTROL!$C$28, 0.0021, 0)</f>
        <v>91.510499999999993</v>
      </c>
      <c r="E883" s="4">
        <f>439.253619316087 * CHOOSE(CONTROL!$C$9, $C$13, 100%, $E$13) + CHOOSE(CONTROL!$C$28, 0.0021, 0)</f>
        <v>439.25571931608698</v>
      </c>
    </row>
    <row r="884" spans="1:5" ht="15">
      <c r="A884" s="13">
        <v>68057</v>
      </c>
      <c r="B884" s="4">
        <f>64.2965 * CHOOSE(CONTROL!$C$9, $C$13, 100%, $E$13) + CHOOSE(CONTROL!$C$28, 0.0272, 0)</f>
        <v>64.323699999999988</v>
      </c>
      <c r="C884" s="4">
        <f>63.9333 * CHOOSE(CONTROL!$C$9, $C$13, 100%, $E$13) + CHOOSE(CONTROL!$C$28, 0.0272, 0)</f>
        <v>63.960500000000003</v>
      </c>
      <c r="D884" s="4">
        <f>94.1249 * CHOOSE(CONTROL!$C$9, $C$13, 100%, $E$13) + CHOOSE(CONTROL!$C$28, 0.0021, 0)</f>
        <v>94.126999999999995</v>
      </c>
      <c r="E884" s="4">
        <f>457.171034589692 * CHOOSE(CONTROL!$C$9, $C$13, 100%, $E$13) + CHOOSE(CONTROL!$C$28, 0.0021, 0)</f>
        <v>457.17313458969198</v>
      </c>
    </row>
    <row r="885" spans="1:5" ht="15">
      <c r="A885" s="13">
        <v>68088</v>
      </c>
      <c r="B885" s="4">
        <f>65.8176 * CHOOSE(CONTROL!$C$9, $C$13, 100%, $E$13) + CHOOSE(CONTROL!$C$28, 0.0272, 0)</f>
        <v>65.844799999999992</v>
      </c>
      <c r="C885" s="4">
        <f>65.4544 * CHOOSE(CONTROL!$C$9, $C$13, 100%, $E$13) + CHOOSE(CONTROL!$C$28, 0.0272, 0)</f>
        <v>65.4816</v>
      </c>
      <c r="D885" s="4">
        <f>93.091 * CHOOSE(CONTROL!$C$9, $C$13, 100%, $E$13) + CHOOSE(CONTROL!$C$28, 0.0021, 0)</f>
        <v>93.093099999999993</v>
      </c>
      <c r="E885" s="4">
        <f>468.118145901352 * CHOOSE(CONTROL!$C$9, $C$13, 100%, $E$13) + CHOOSE(CONTROL!$C$28, 0.0021, 0)</f>
        <v>468.12024590135201</v>
      </c>
    </row>
    <row r="886" spans="1:5" ht="15">
      <c r="A886" s="13">
        <v>68118</v>
      </c>
      <c r="B886" s="4">
        <f>66.0234 * CHOOSE(CONTROL!$C$9, $C$13, 100%, $E$13) + CHOOSE(CONTROL!$C$28, 0.0272, 0)</f>
        <v>66.050599999999989</v>
      </c>
      <c r="C886" s="4">
        <f>65.6602 * CHOOSE(CONTROL!$C$9, $C$13, 100%, $E$13) + CHOOSE(CONTROL!$C$28, 0.0272, 0)</f>
        <v>65.687399999999997</v>
      </c>
      <c r="D886" s="4">
        <f>93.933 * CHOOSE(CONTROL!$C$9, $C$13, 100%, $E$13) + CHOOSE(CONTROL!$C$28, 0.0021, 0)</f>
        <v>93.935100000000006</v>
      </c>
      <c r="E886" s="4">
        <f>469.599335493265 * CHOOSE(CONTROL!$C$9, $C$13, 100%, $E$13) + CHOOSE(CONTROL!$C$28, 0.0021, 0)</f>
        <v>469.601435493265</v>
      </c>
    </row>
    <row r="887" spans="1:5" ht="15">
      <c r="A887" s="13">
        <v>68149</v>
      </c>
      <c r="B887" s="4">
        <f>66.0027 * CHOOSE(CONTROL!$C$9, $C$13, 100%, $E$13) + CHOOSE(CONTROL!$C$28, 0.0272, 0)</f>
        <v>66.029899999999998</v>
      </c>
      <c r="C887" s="4">
        <f>65.6394 * CHOOSE(CONTROL!$C$9, $C$13, 100%, $E$13) + CHOOSE(CONTROL!$C$28, 0.0272, 0)</f>
        <v>65.666599999999988</v>
      </c>
      <c r="D887" s="4">
        <f>95.4523 * CHOOSE(CONTROL!$C$9, $C$13, 100%, $E$13) + CHOOSE(CONTROL!$C$28, 0.0021, 0)</f>
        <v>95.454399999999993</v>
      </c>
      <c r="E887" s="4">
        <f>469.449971836938 * CHOOSE(CONTROL!$C$9, $C$13, 100%, $E$13) + CHOOSE(CONTROL!$C$28, 0.0021, 0)</f>
        <v>469.45207183693799</v>
      </c>
    </row>
    <row r="888" spans="1:5" ht="15">
      <c r="A888" s="13">
        <v>68180</v>
      </c>
      <c r="B888" s="4">
        <f>67.5644 * CHOOSE(CONTROL!$C$9, $C$13, 100%, $E$13) + CHOOSE(CONTROL!$C$28, 0.0272, 0)</f>
        <v>67.5916</v>
      </c>
      <c r="C888" s="4">
        <f>67.2011 * CHOOSE(CONTROL!$C$9, $C$13, 100%, $E$13) + CHOOSE(CONTROL!$C$28, 0.0272, 0)</f>
        <v>67.22829999999999</v>
      </c>
      <c r="D888" s="4">
        <f>94.449 * CHOOSE(CONTROL!$C$9, $C$13, 100%, $E$13) + CHOOSE(CONTROL!$C$28, 0.0021, 0)</f>
        <v>94.451099999999997</v>
      </c>
      <c r="E888" s="4">
        <f>480.689586975573 * CHOOSE(CONTROL!$C$9, $C$13, 100%, $E$13) + CHOOSE(CONTROL!$C$28, 0.0021, 0)</f>
        <v>480.69168697557296</v>
      </c>
    </row>
    <row r="889" spans="1:5" ht="15">
      <c r="A889" s="13">
        <v>68210</v>
      </c>
      <c r="B889" s="4">
        <f>64.9027 * CHOOSE(CONTROL!$C$9, $C$13, 100%, $E$13) + CHOOSE(CONTROL!$C$28, 0.0272, 0)</f>
        <v>64.929899999999989</v>
      </c>
      <c r="C889" s="4">
        <f>64.5395 * CHOOSE(CONTROL!$C$9, $C$13, 100%, $E$13) + CHOOSE(CONTROL!$C$28, 0.0272, 0)</f>
        <v>64.566699999999997</v>
      </c>
      <c r="D889" s="4">
        <f>93.9749 * CHOOSE(CONTROL!$C$9, $C$13, 100%, $E$13) + CHOOSE(CONTROL!$C$28, 0.0021, 0)</f>
        <v>93.977000000000004</v>
      </c>
      <c r="E889" s="4">
        <f>461.533698051587 * CHOOSE(CONTROL!$C$9, $C$13, 100%, $E$13) + CHOOSE(CONTROL!$C$28, 0.0021, 0)</f>
        <v>461.53579805158699</v>
      </c>
    </row>
    <row r="890" spans="1:5" ht="15">
      <c r="A890" s="13">
        <v>68241</v>
      </c>
      <c r="B890" s="4">
        <f>62.772 * CHOOSE(CONTROL!$C$9, $C$13, 100%, $E$13) + CHOOSE(CONTROL!$C$28, 0.0272, 0)</f>
        <v>62.799199999999999</v>
      </c>
      <c r="C890" s="4">
        <f>62.4087 * CHOOSE(CONTROL!$C$9, $C$13, 100%, $E$13) + CHOOSE(CONTROL!$C$28, 0.0272, 0)</f>
        <v>62.435900000000004</v>
      </c>
      <c r="D890" s="4">
        <f>92.7055 * CHOOSE(CONTROL!$C$9, $C$13, 100%, $E$13) + CHOOSE(CONTROL!$C$28, 0.0021, 0)</f>
        <v>92.707599999999999</v>
      </c>
      <c r="E890" s="4">
        <f>446.19902933531 * CHOOSE(CONTROL!$C$9, $C$13, 100%, $E$13) + CHOOSE(CONTROL!$C$28, 0.0021, 0)</f>
        <v>446.20112933530999</v>
      </c>
    </row>
    <row r="891" spans="1:5" ht="15">
      <c r="A891" s="13">
        <v>68271</v>
      </c>
      <c r="B891" s="4">
        <f>61.3997 * CHOOSE(CONTROL!$C$9, $C$13, 100%, $E$13) + CHOOSE(CONTROL!$C$28, 0.0272, 0)</f>
        <v>61.426900000000003</v>
      </c>
      <c r="C891" s="4">
        <f>61.0364 * CHOOSE(CONTROL!$C$9, $C$13, 100%, $E$13) + CHOOSE(CONTROL!$C$28, 0.0272, 0)</f>
        <v>61.063600000000001</v>
      </c>
      <c r="D891" s="4">
        <f>92.2691 * CHOOSE(CONTROL!$C$9, $C$13, 100%, $E$13) + CHOOSE(CONTROL!$C$28, 0.0021, 0)</f>
        <v>92.271199999999993</v>
      </c>
      <c r="E891" s="4">
        <f>436.322357560662 * CHOOSE(CONTROL!$C$9, $C$13, 100%, $E$13) + CHOOSE(CONTROL!$C$28, 0.0021, 0)</f>
        <v>436.32445756066198</v>
      </c>
    </row>
    <row r="892" spans="1:5" ht="15">
      <c r="A892" s="13">
        <v>68302</v>
      </c>
      <c r="B892" s="4">
        <f>60.4502 * CHOOSE(CONTROL!$C$9, $C$13, 100%, $E$13) + CHOOSE(CONTROL!$C$28, 0.0272, 0)</f>
        <v>60.477400000000003</v>
      </c>
      <c r="C892" s="4">
        <f>60.0869 * CHOOSE(CONTROL!$C$9, $C$13, 100%, $E$13) + CHOOSE(CONTROL!$C$28, 0.0272, 0)</f>
        <v>60.114100000000001</v>
      </c>
      <c r="D892" s="4">
        <f>89.0563 * CHOOSE(CONTROL!$C$9, $C$13, 100%, $E$13) + CHOOSE(CONTROL!$C$28, 0.0021, 0)</f>
        <v>89.058399999999992</v>
      </c>
      <c r="E892" s="4">
        <f>429.488970283685 * CHOOSE(CONTROL!$C$9, $C$13, 100%, $E$13) + CHOOSE(CONTROL!$C$28, 0.0021, 0)</f>
        <v>429.49107028368496</v>
      </c>
    </row>
    <row r="893" spans="1:5" ht="15">
      <c r="A893" s="13">
        <v>68333</v>
      </c>
      <c r="B893" s="4">
        <f>57.8524 * CHOOSE(CONTROL!$C$9, $C$13, 100%, $E$13) + CHOOSE(CONTROL!$C$28, 0.0272, 0)</f>
        <v>57.879600000000003</v>
      </c>
      <c r="C893" s="4">
        <f>57.4891 * CHOOSE(CONTROL!$C$9, $C$13, 100%, $E$13) + CHOOSE(CONTROL!$C$28, 0.0272, 0)</f>
        <v>57.516300000000001</v>
      </c>
      <c r="D893" s="4">
        <f>85.5171 * CHOOSE(CONTROL!$C$9, $C$13, 100%, $E$13) + CHOOSE(CONTROL!$C$28, 0.0021, 0)</f>
        <v>85.519199999999998</v>
      </c>
      <c r="E893" s="4">
        <f>411.599009481541 * CHOOSE(CONTROL!$C$9, $C$13, 100%, $E$13) + CHOOSE(CONTROL!$C$28, 0.0021, 0)</f>
        <v>411.60110948154096</v>
      </c>
    </row>
    <row r="894" spans="1:5" ht="15">
      <c r="A894" s="13">
        <v>68361</v>
      </c>
      <c r="B894" s="4">
        <f>59.2077 * CHOOSE(CONTROL!$C$9, $C$13, 100%, $E$13) + CHOOSE(CONTROL!$C$28, 0.0272, 0)</f>
        <v>59.234900000000003</v>
      </c>
      <c r="C894" s="4">
        <f>58.8444 * CHOOSE(CONTROL!$C$9, $C$13, 100%, $E$13) + CHOOSE(CONTROL!$C$28, 0.0272, 0)</f>
        <v>58.871600000000001</v>
      </c>
      <c r="D894" s="4">
        <f>88.47 * CHOOSE(CONTROL!$C$9, $C$13, 100%, $E$13) + CHOOSE(CONTROL!$C$28, 0.0021, 0)</f>
        <v>88.472099999999998</v>
      </c>
      <c r="E894" s="4">
        <f>421.371992041055 * CHOOSE(CONTROL!$C$9, $C$13, 100%, $E$13) + CHOOSE(CONTROL!$C$28, 0.0021, 0)</f>
        <v>421.37409204105501</v>
      </c>
    </row>
    <row r="895" spans="1:5" ht="15">
      <c r="A895" s="13">
        <v>68392</v>
      </c>
      <c r="B895" s="4">
        <f>62.7667 * CHOOSE(CONTROL!$C$9, $C$13, 100%, $E$13) + CHOOSE(CONTROL!$C$28, 0.0272, 0)</f>
        <v>62.793900000000001</v>
      </c>
      <c r="C895" s="4">
        <f>62.4034 * CHOOSE(CONTROL!$C$9, $C$13, 100%, $E$13) + CHOOSE(CONTROL!$C$28, 0.0272, 0)</f>
        <v>62.430599999999998</v>
      </c>
      <c r="D895" s="4">
        <f>93.0925 * CHOOSE(CONTROL!$C$9, $C$13, 100%, $E$13) + CHOOSE(CONTROL!$C$28, 0.0021, 0)</f>
        <v>93.0946</v>
      </c>
      <c r="E895" s="4">
        <f>447.036363610174 * CHOOSE(CONTROL!$C$9, $C$13, 100%, $E$13) + CHOOSE(CONTROL!$C$28, 0.0021, 0)</f>
        <v>447.03846361017401</v>
      </c>
    </row>
    <row r="896" spans="1:5" ht="15">
      <c r="A896" s="13">
        <v>68422</v>
      </c>
      <c r="B896" s="4">
        <f>65.2954 * CHOOSE(CONTROL!$C$9, $C$13, 100%, $E$13) + CHOOSE(CONTROL!$C$28, 0.0272, 0)</f>
        <v>65.322599999999994</v>
      </c>
      <c r="C896" s="4">
        <f>64.9322 * CHOOSE(CONTROL!$C$9, $C$13, 100%, $E$13) + CHOOSE(CONTROL!$C$28, 0.0272, 0)</f>
        <v>64.959399999999988</v>
      </c>
      <c r="D896" s="4">
        <f>95.7552 * CHOOSE(CONTROL!$C$9, $C$13, 100%, $E$13) + CHOOSE(CONTROL!$C$28, 0.0021, 0)</f>
        <v>95.757300000000001</v>
      </c>
      <c r="E896" s="4">
        <f>465.271241632754 * CHOOSE(CONTROL!$C$9, $C$13, 100%, $E$13) + CHOOSE(CONTROL!$C$28, 0.0021, 0)</f>
        <v>465.27334163275401</v>
      </c>
    </row>
    <row r="897" spans="1:5" ht="15">
      <c r="A897" s="13">
        <v>68453</v>
      </c>
      <c r="B897" s="4">
        <f>66.8404 * CHOOSE(CONTROL!$C$9, $C$13, 100%, $E$13) + CHOOSE(CONTROL!$C$28, 0.0272, 0)</f>
        <v>66.867599999999996</v>
      </c>
      <c r="C897" s="4">
        <f>66.4772 * CHOOSE(CONTROL!$C$9, $C$13, 100%, $E$13) + CHOOSE(CONTROL!$C$28, 0.0272, 0)</f>
        <v>66.50439999999999</v>
      </c>
      <c r="D897" s="4">
        <f>94.703 * CHOOSE(CONTROL!$C$9, $C$13, 100%, $E$13) + CHOOSE(CONTROL!$C$28, 0.0021, 0)</f>
        <v>94.705100000000002</v>
      </c>
      <c r="E897" s="4">
        <f>476.412315075518 * CHOOSE(CONTROL!$C$9, $C$13, 100%, $E$13) + CHOOSE(CONTROL!$C$28, 0.0021, 0)</f>
        <v>476.41441507551798</v>
      </c>
    </row>
    <row r="898" spans="1:5" ht="15">
      <c r="A898" s="13">
        <v>68483</v>
      </c>
      <c r="B898" s="4">
        <f>67.0495 * CHOOSE(CONTROL!$C$9, $C$13, 100%, $E$13) + CHOOSE(CONTROL!$C$28, 0.0272, 0)</f>
        <v>67.076699999999988</v>
      </c>
      <c r="C898" s="4">
        <f>66.6862 * CHOOSE(CONTROL!$C$9, $C$13, 100%, $E$13) + CHOOSE(CONTROL!$C$28, 0.0272, 0)</f>
        <v>66.713399999999993</v>
      </c>
      <c r="D898" s="4">
        <f>95.5599 * CHOOSE(CONTROL!$C$9, $C$13, 100%, $E$13) + CHOOSE(CONTROL!$C$28, 0.0021, 0)</f>
        <v>95.561999999999998</v>
      </c>
      <c r="E898" s="4">
        <f>477.919748548729 * CHOOSE(CONTROL!$C$9, $C$13, 100%, $E$13) + CHOOSE(CONTROL!$C$28, 0.0021, 0)</f>
        <v>477.92184854872897</v>
      </c>
    </row>
    <row r="899" spans="1:5" ht="15">
      <c r="A899" s="13">
        <v>68514</v>
      </c>
      <c r="B899" s="4">
        <f>67.0284 * CHOOSE(CONTROL!$C$9, $C$13, 100%, $E$13) + CHOOSE(CONTROL!$C$28, 0.0272, 0)</f>
        <v>67.055599999999998</v>
      </c>
      <c r="C899" s="4">
        <f>66.6651 * CHOOSE(CONTROL!$C$9, $C$13, 100%, $E$13) + CHOOSE(CONTROL!$C$28, 0.0272, 0)</f>
        <v>66.692299999999989</v>
      </c>
      <c r="D899" s="4">
        <f>97.1061 * CHOOSE(CONTROL!$C$9, $C$13, 100%, $E$13) + CHOOSE(CONTROL!$C$28, 0.0021, 0)</f>
        <v>97.108199999999997</v>
      </c>
      <c r="E899" s="4">
        <f>477.76773845059 * CHOOSE(CONTROL!$C$9, $C$13, 100%, $E$13) + CHOOSE(CONTROL!$C$28, 0.0021, 0)</f>
        <v>477.76983845058999</v>
      </c>
    </row>
    <row r="900" spans="1:5" ht="15">
      <c r="A900" s="13">
        <v>68545</v>
      </c>
      <c r="B900" s="4">
        <f>68.6147 * CHOOSE(CONTROL!$C$9, $C$13, 100%, $E$13) + CHOOSE(CONTROL!$C$28, 0.0272, 0)</f>
        <v>68.641899999999993</v>
      </c>
      <c r="C900" s="4">
        <f>68.2514 * CHOOSE(CONTROL!$C$9, $C$13, 100%, $E$13) + CHOOSE(CONTROL!$C$28, 0.0272, 0)</f>
        <v>68.278599999999997</v>
      </c>
      <c r="D900" s="4">
        <f>96.085 * CHOOSE(CONTROL!$C$9, $C$13, 100%, $E$13) + CHOOSE(CONTROL!$C$28, 0.0021, 0)</f>
        <v>96.087099999999992</v>
      </c>
      <c r="E900" s="4">
        <f>489.206498335543 * CHOOSE(CONTROL!$C$9, $C$13, 100%, $E$13) + CHOOSE(CONTROL!$C$28, 0.0021, 0)</f>
        <v>489.208598335543</v>
      </c>
    </row>
    <row r="901" spans="1:5" ht="15">
      <c r="A901" s="13">
        <v>68575</v>
      </c>
      <c r="B901" s="4">
        <f>65.9112 * CHOOSE(CONTROL!$C$9, $C$13, 100%, $E$13) + CHOOSE(CONTROL!$C$28, 0.0272, 0)</f>
        <v>65.938399999999987</v>
      </c>
      <c r="C901" s="4">
        <f>65.5479 * CHOOSE(CONTROL!$C$9, $C$13, 100%, $E$13) + CHOOSE(CONTROL!$C$28, 0.0272, 0)</f>
        <v>65.575099999999992</v>
      </c>
      <c r="D901" s="4">
        <f>95.6025 * CHOOSE(CONTROL!$C$9, $C$13, 100%, $E$13) + CHOOSE(CONTROL!$C$28, 0.0021, 0)</f>
        <v>95.604600000000005</v>
      </c>
      <c r="E901" s="4">
        <f>469.711203249228 * CHOOSE(CONTROL!$C$9, $C$13, 100%, $E$13) + CHOOSE(CONTROL!$C$28, 0.0021, 0)</f>
        <v>469.71330324922798</v>
      </c>
    </row>
    <row r="902" spans="1:5" ht="15">
      <c r="A902" s="13">
        <v>68606</v>
      </c>
      <c r="B902" s="4">
        <f>63.7469 * CHOOSE(CONTROL!$C$9, $C$13, 100%, $E$13) + CHOOSE(CONTROL!$C$28, 0.0272, 0)</f>
        <v>63.774099999999997</v>
      </c>
      <c r="C902" s="4">
        <f>63.3837 * CHOOSE(CONTROL!$C$9, $C$13, 100%, $E$13) + CHOOSE(CONTROL!$C$28, 0.0272, 0)</f>
        <v>63.410899999999998</v>
      </c>
      <c r="D902" s="4">
        <f>94.3108 * CHOOSE(CONTROL!$C$9, $C$13, 100%, $E$13) + CHOOSE(CONTROL!$C$28, 0.0021, 0)</f>
        <v>94.312899999999999</v>
      </c>
      <c r="E902" s="4">
        <f>454.104833173633 * CHOOSE(CONTROL!$C$9, $C$13, 100%, $E$13) + CHOOSE(CONTROL!$C$28, 0.0021, 0)</f>
        <v>454.10693317363297</v>
      </c>
    </row>
    <row r="903" spans="1:5" ht="15">
      <c r="A903" s="13">
        <v>68636</v>
      </c>
      <c r="B903" s="4">
        <f>62.353 * CHOOSE(CONTROL!$C$9, $C$13, 100%, $E$13) + CHOOSE(CONTROL!$C$28, 0.0272, 0)</f>
        <v>62.380200000000002</v>
      </c>
      <c r="C903" s="4">
        <f>61.9897 * CHOOSE(CONTROL!$C$9, $C$13, 100%, $E$13) + CHOOSE(CONTROL!$C$28, 0.0272, 0)</f>
        <v>62.0169</v>
      </c>
      <c r="D903" s="4">
        <f>93.8666 * CHOOSE(CONTROL!$C$9, $C$13, 100%, $E$13) + CHOOSE(CONTROL!$C$28, 0.0021, 0)</f>
        <v>93.868700000000004</v>
      </c>
      <c r="E903" s="4">
        <f>444.053165434198 * CHOOSE(CONTROL!$C$9, $C$13, 100%, $E$13) + CHOOSE(CONTROL!$C$28, 0.0021, 0)</f>
        <v>444.05526543419796</v>
      </c>
    </row>
    <row r="904" spans="1:5" ht="15">
      <c r="A904" s="13">
        <v>68667</v>
      </c>
      <c r="B904" s="4">
        <f>61.3886 * CHOOSE(CONTROL!$C$9, $C$13, 100%, $E$13) + CHOOSE(CONTROL!$C$28, 0.0272, 0)</f>
        <v>61.415799999999997</v>
      </c>
      <c r="C904" s="4">
        <f>61.0253 * CHOOSE(CONTROL!$C$9, $C$13, 100%, $E$13) + CHOOSE(CONTROL!$C$28, 0.0272, 0)</f>
        <v>61.052500000000002</v>
      </c>
      <c r="D904" s="4">
        <f>90.597 * CHOOSE(CONTROL!$C$9, $C$13, 100%, $E$13) + CHOOSE(CONTROL!$C$28, 0.0021, 0)</f>
        <v>90.599099999999993</v>
      </c>
      <c r="E904" s="4">
        <f>437.098703444343 * CHOOSE(CONTROL!$C$9, $C$13, 100%, $E$13) + CHOOSE(CONTROL!$C$28, 0.0021, 0)</f>
        <v>437.100803444343</v>
      </c>
    </row>
    <row r="905" spans="1:5" ht="15">
      <c r="A905" s="13">
        <v>68698</v>
      </c>
      <c r="B905" s="4">
        <f>58.75 * CHOOSE(CONTROL!$C$9, $C$13, 100%, $E$13) + CHOOSE(CONTROL!$C$28, 0.0272, 0)</f>
        <v>58.777200000000001</v>
      </c>
      <c r="C905" s="4">
        <f>58.3867 * CHOOSE(CONTROL!$C$9, $C$13, 100%, $E$13) + CHOOSE(CONTROL!$C$28, 0.0272, 0)</f>
        <v>58.413899999999998</v>
      </c>
      <c r="D905" s="4">
        <f>86.9953 * CHOOSE(CONTROL!$C$9, $C$13, 100%, $E$13) + CHOOSE(CONTROL!$C$28, 0.0021, 0)</f>
        <v>86.997399999999999</v>
      </c>
      <c r="E905" s="4">
        <f>418.891766334591 * CHOOSE(CONTROL!$C$9, $C$13, 100%, $E$13) + CHOOSE(CONTROL!$C$28, 0.0021, 0)</f>
        <v>418.893866334591</v>
      </c>
    </row>
    <row r="906" spans="1:5" ht="15">
      <c r="A906" s="13">
        <v>68727</v>
      </c>
      <c r="B906" s="4">
        <f>60.1265 * CHOOSE(CONTROL!$C$9, $C$13, 100%, $E$13) + CHOOSE(CONTROL!$C$28, 0.0272, 0)</f>
        <v>60.153700000000001</v>
      </c>
      <c r="C906" s="4">
        <f>59.7633 * CHOOSE(CONTROL!$C$9, $C$13, 100%, $E$13) + CHOOSE(CONTROL!$C$28, 0.0272, 0)</f>
        <v>59.790500000000002</v>
      </c>
      <c r="D906" s="4">
        <f>90.0004 * CHOOSE(CONTROL!$C$9, $C$13, 100%, $E$13) + CHOOSE(CONTROL!$C$28, 0.0021, 0)</f>
        <v>90.002499999999998</v>
      </c>
      <c r="E906" s="4">
        <f>428.83790768189 * CHOOSE(CONTROL!$C$9, $C$13, 100%, $E$13) + CHOOSE(CONTROL!$C$28, 0.0021, 0)</f>
        <v>428.84000768188997</v>
      </c>
    </row>
    <row r="907" spans="1:5" ht="15">
      <c r="A907" s="13">
        <v>68758</v>
      </c>
      <c r="B907" s="4">
        <f>63.7415 * CHOOSE(CONTROL!$C$9, $C$13, 100%, $E$13) + CHOOSE(CONTROL!$C$28, 0.0272, 0)</f>
        <v>63.768700000000003</v>
      </c>
      <c r="C907" s="4">
        <f>63.3783 * CHOOSE(CONTROL!$C$9, $C$13, 100%, $E$13) + CHOOSE(CONTROL!$C$28, 0.0272, 0)</f>
        <v>63.405500000000004</v>
      </c>
      <c r="D907" s="4">
        <f>94.7045 * CHOOSE(CONTROL!$C$9, $C$13, 100%, $E$13) + CHOOSE(CONTROL!$C$28, 0.0021, 0)</f>
        <v>94.706599999999995</v>
      </c>
      <c r="E907" s="4">
        <f>454.957003429952 * CHOOSE(CONTROL!$C$9, $C$13, 100%, $E$13) + CHOOSE(CONTROL!$C$28, 0.0021, 0)</f>
        <v>454.95910342995199</v>
      </c>
    </row>
    <row r="908" spans="1:5" ht="15">
      <c r="A908" s="13">
        <v>68788</v>
      </c>
      <c r="B908" s="4">
        <f>66.31 * CHOOSE(CONTROL!$C$9, $C$13, 100%, $E$13) + CHOOSE(CONTROL!$C$28, 0.0272, 0)</f>
        <v>66.337199999999996</v>
      </c>
      <c r="C908" s="4">
        <f>65.9468 * CHOOSE(CONTROL!$C$9, $C$13, 100%, $E$13) + CHOOSE(CONTROL!$C$28, 0.0272, 0)</f>
        <v>65.97399999999999</v>
      </c>
      <c r="D908" s="4">
        <f>97.4143 * CHOOSE(CONTROL!$C$9, $C$13, 100%, $E$13) + CHOOSE(CONTROL!$C$28, 0.0021, 0)</f>
        <v>97.416399999999996</v>
      </c>
      <c r="E908" s="4">
        <f>473.514969041666 * CHOOSE(CONTROL!$C$9, $C$13, 100%, $E$13) + CHOOSE(CONTROL!$C$28, 0.0021, 0)</f>
        <v>473.51706904166599</v>
      </c>
    </row>
    <row r="909" spans="1:5" ht="15">
      <c r="A909" s="13">
        <v>68819</v>
      </c>
      <c r="B909" s="4">
        <f>67.8793 * CHOOSE(CONTROL!$C$9, $C$13, 100%, $E$13) + CHOOSE(CONTROL!$C$28, 0.0272, 0)</f>
        <v>67.906499999999994</v>
      </c>
      <c r="C909" s="4">
        <f>67.5161 * CHOOSE(CONTROL!$C$9, $C$13, 100%, $E$13) + CHOOSE(CONTROL!$C$28, 0.0272, 0)</f>
        <v>67.543299999999988</v>
      </c>
      <c r="D909" s="4">
        <f>96.3435 * CHOOSE(CONTROL!$C$9, $C$13, 100%, $E$13) + CHOOSE(CONTROL!$C$28, 0.0021, 0)</f>
        <v>96.345600000000005</v>
      </c>
      <c r="E909" s="4">
        <f>484.853441258063 * CHOOSE(CONTROL!$C$9, $C$13, 100%, $E$13) + CHOOSE(CONTROL!$C$28, 0.0021, 0)</f>
        <v>484.855541258063</v>
      </c>
    </row>
    <row r="910" spans="1:5" ht="15">
      <c r="A910" s="13">
        <v>68849</v>
      </c>
      <c r="B910" s="4">
        <f>68.0917 * CHOOSE(CONTROL!$C$9, $C$13, 100%, $E$13) + CHOOSE(CONTROL!$C$28, 0.0272, 0)</f>
        <v>68.118899999999996</v>
      </c>
      <c r="C910" s="4">
        <f>67.7284 * CHOOSE(CONTROL!$C$9, $C$13, 100%, $E$13) + CHOOSE(CONTROL!$C$28, 0.0272, 0)</f>
        <v>67.755599999999987</v>
      </c>
      <c r="D910" s="4">
        <f>97.2156 * CHOOSE(CONTROL!$C$9, $C$13, 100%, $E$13) + CHOOSE(CONTROL!$C$28, 0.0021, 0)</f>
        <v>97.217699999999994</v>
      </c>
      <c r="E910" s="4">
        <f>486.387583604568 * CHOOSE(CONTROL!$C$9, $C$13, 100%, $E$13) + CHOOSE(CONTROL!$C$28, 0.0021, 0)</f>
        <v>486.38968360456801</v>
      </c>
    </row>
    <row r="911" spans="1:5" ht="15">
      <c r="A911" s="13">
        <v>68880</v>
      </c>
      <c r="B911" s="4">
        <f>68.0703 * CHOOSE(CONTROL!$C$9, $C$13, 100%, $E$13) + CHOOSE(CONTROL!$C$28, 0.0272, 0)</f>
        <v>68.097499999999997</v>
      </c>
      <c r="C911" s="4">
        <f>67.707 * CHOOSE(CONTROL!$C$9, $C$13, 100%, $E$13) + CHOOSE(CONTROL!$C$28, 0.0272, 0)</f>
        <v>67.734199999999987</v>
      </c>
      <c r="D911" s="4">
        <f>98.7891 * CHOOSE(CONTROL!$C$9, $C$13, 100%, $E$13) + CHOOSE(CONTROL!$C$28, 0.0021, 0)</f>
        <v>98.791200000000003</v>
      </c>
      <c r="E911" s="4">
        <f>486.232880174669 * CHOOSE(CONTROL!$C$9, $C$13, 100%, $E$13) + CHOOSE(CONTROL!$C$28, 0.0021, 0)</f>
        <v>486.23498017466898</v>
      </c>
    </row>
    <row r="912" spans="1:5" ht="15">
      <c r="A912" s="13">
        <v>68911</v>
      </c>
      <c r="B912" s="4">
        <f>69.6815 * CHOOSE(CONTROL!$C$9, $C$13, 100%, $E$13) + CHOOSE(CONTROL!$C$28, 0.0272, 0)</f>
        <v>69.708699999999993</v>
      </c>
      <c r="C912" s="4">
        <f>69.3182 * CHOOSE(CONTROL!$C$9, $C$13, 100%, $E$13) + CHOOSE(CONTROL!$C$28, 0.0272, 0)</f>
        <v>69.345399999999998</v>
      </c>
      <c r="D912" s="4">
        <f>97.7499 * CHOOSE(CONTROL!$C$9, $C$13, 100%, $E$13) + CHOOSE(CONTROL!$C$28, 0.0021, 0)</f>
        <v>97.751999999999995</v>
      </c>
      <c r="E912" s="4">
        <f>497.874313274619 * CHOOSE(CONTROL!$C$9, $C$13, 100%, $E$13) + CHOOSE(CONTROL!$C$28, 0.0021, 0)</f>
        <v>497.87641327461898</v>
      </c>
    </row>
    <row r="913" spans="1:5" ht="15">
      <c r="A913" s="13">
        <v>68941</v>
      </c>
      <c r="B913" s="4">
        <f>66.9354 * CHOOSE(CONTROL!$C$9, $C$13, 100%, $E$13) + CHOOSE(CONTROL!$C$28, 0.0272, 0)</f>
        <v>66.962599999999995</v>
      </c>
      <c r="C913" s="4">
        <f>66.5722 * CHOOSE(CONTROL!$C$9, $C$13, 100%, $E$13) + CHOOSE(CONTROL!$C$28, 0.0272, 0)</f>
        <v>66.599399999999989</v>
      </c>
      <c r="D913" s="4">
        <f>97.259 * CHOOSE(CONTROL!$C$9, $C$13, 100%, $E$13) + CHOOSE(CONTROL!$C$28, 0.0021, 0)</f>
        <v>97.261099999999999</v>
      </c>
      <c r="E913" s="4">
        <f>478.033598389986 * CHOOSE(CONTROL!$C$9, $C$13, 100%, $E$13) + CHOOSE(CONTROL!$C$28, 0.0021, 0)</f>
        <v>478.03569838998601</v>
      </c>
    </row>
    <row r="914" spans="1:5" ht="15">
      <c r="A914" s="13">
        <v>68972</v>
      </c>
      <c r="B914" s="4">
        <f>64.7372 * CHOOSE(CONTROL!$C$9, $C$13, 100%, $E$13) + CHOOSE(CONTROL!$C$28, 0.0272, 0)</f>
        <v>64.764399999999995</v>
      </c>
      <c r="C914" s="4">
        <f>64.3739 * CHOOSE(CONTROL!$C$9, $C$13, 100%, $E$13) + CHOOSE(CONTROL!$C$28, 0.0272, 0)</f>
        <v>64.4011</v>
      </c>
      <c r="D914" s="4">
        <f>95.9443 * CHOOSE(CONTROL!$C$9, $C$13, 100%, $E$13) + CHOOSE(CONTROL!$C$28, 0.0021, 0)</f>
        <v>95.946399999999997</v>
      </c>
      <c r="E914" s="4">
        <f>462.150712920286 * CHOOSE(CONTROL!$C$9, $C$13, 100%, $E$13) + CHOOSE(CONTROL!$C$28, 0.0021, 0)</f>
        <v>462.15281292028601</v>
      </c>
    </row>
    <row r="915" spans="1:5" ht="15">
      <c r="A915" s="13">
        <v>69002</v>
      </c>
      <c r="B915" s="4">
        <f>63.3213 * CHOOSE(CONTROL!$C$9, $C$13, 100%, $E$13) + CHOOSE(CONTROL!$C$28, 0.0272, 0)</f>
        <v>63.348500000000001</v>
      </c>
      <c r="C915" s="4">
        <f>62.9581 * CHOOSE(CONTROL!$C$9, $C$13, 100%, $E$13) + CHOOSE(CONTROL!$C$28, 0.0272, 0)</f>
        <v>62.985300000000002</v>
      </c>
      <c r="D915" s="4">
        <f>95.4924 * CHOOSE(CONTROL!$C$9, $C$13, 100%, $E$13) + CHOOSE(CONTROL!$C$28, 0.0021, 0)</f>
        <v>95.494500000000002</v>
      </c>
      <c r="E915" s="4">
        <f>451.92094861817 * CHOOSE(CONTROL!$C$9, $C$13, 100%, $E$13) + CHOOSE(CONTROL!$C$28, 0.0021, 0)</f>
        <v>451.92304861816996</v>
      </c>
    </row>
    <row r="916" spans="1:5" ht="15">
      <c r="A916" s="13">
        <v>69033</v>
      </c>
      <c r="B916" s="4">
        <f>62.3418 * CHOOSE(CONTROL!$C$9, $C$13, 100%, $E$13) + CHOOSE(CONTROL!$C$28, 0.0272, 0)</f>
        <v>62.369</v>
      </c>
      <c r="C916" s="4">
        <f>61.9785 * CHOOSE(CONTROL!$C$9, $C$13, 100%, $E$13) + CHOOSE(CONTROL!$C$28, 0.0272, 0)</f>
        <v>62.005699999999997</v>
      </c>
      <c r="D916" s="4">
        <f>92.165 * CHOOSE(CONTROL!$C$9, $C$13, 100%, $E$13) + CHOOSE(CONTROL!$C$28, 0.0021, 0)</f>
        <v>92.167100000000005</v>
      </c>
      <c r="E916" s="4">
        <f>444.843266700261 * CHOOSE(CONTROL!$C$9, $C$13, 100%, $E$13) + CHOOSE(CONTROL!$C$28, 0.0021, 0)</f>
        <v>444.84536670026097</v>
      </c>
    </row>
    <row r="917" spans="1:5" ht="15">
      <c r="A917" s="13">
        <v>69064</v>
      </c>
      <c r="B917" s="4">
        <f>59.6616 * CHOOSE(CONTROL!$C$9, $C$13, 100%, $E$13) + CHOOSE(CONTROL!$C$28, 0.0272, 0)</f>
        <v>59.688800000000001</v>
      </c>
      <c r="C917" s="4">
        <f>59.2983 * CHOOSE(CONTROL!$C$9, $C$13, 100%, $E$13) + CHOOSE(CONTROL!$C$28, 0.0272, 0)</f>
        <v>59.325499999999998</v>
      </c>
      <c r="D917" s="4">
        <f>88.4996 * CHOOSE(CONTROL!$C$9, $C$13, 100%, $E$13) + CHOOSE(CONTROL!$C$28, 0.0021, 0)</f>
        <v>88.5017</v>
      </c>
      <c r="E917" s="4">
        <f>426.313737061563 * CHOOSE(CONTROL!$C$9, $C$13, 100%, $E$13) + CHOOSE(CONTROL!$C$28, 0.0021, 0)</f>
        <v>426.315837061563</v>
      </c>
    </row>
    <row r="918" spans="1:5" ht="15">
      <c r="A918" s="13">
        <v>69092</v>
      </c>
      <c r="B918" s="4">
        <f>61.0599 * CHOOSE(CONTROL!$C$9, $C$13, 100%, $E$13) + CHOOSE(CONTROL!$C$28, 0.0272, 0)</f>
        <v>61.0871</v>
      </c>
      <c r="C918" s="4">
        <f>60.6966 * CHOOSE(CONTROL!$C$9, $C$13, 100%, $E$13) + CHOOSE(CONTROL!$C$28, 0.0272, 0)</f>
        <v>60.723799999999997</v>
      </c>
      <c r="D918" s="4">
        <f>91.5578 * CHOOSE(CONTROL!$C$9, $C$13, 100%, $E$13) + CHOOSE(CONTROL!$C$28, 0.0021, 0)</f>
        <v>91.559899999999999</v>
      </c>
      <c r="E918" s="4">
        <f>436.436105243235 * CHOOSE(CONTROL!$C$9, $C$13, 100%, $E$13) + CHOOSE(CONTROL!$C$28, 0.0021, 0)</f>
        <v>436.43820524323496</v>
      </c>
    </row>
    <row r="919" spans="1:5" ht="15">
      <c r="A919" s="13">
        <v>69123</v>
      </c>
      <c r="B919" s="4">
        <f>64.7317 * CHOOSE(CONTROL!$C$9, $C$13, 100%, $E$13) + CHOOSE(CONTROL!$C$28, 0.0272, 0)</f>
        <v>64.758899999999997</v>
      </c>
      <c r="C919" s="4">
        <f>64.3684 * CHOOSE(CONTROL!$C$9, $C$13, 100%, $E$13) + CHOOSE(CONTROL!$C$28, 0.0272, 0)</f>
        <v>64.395599999999988</v>
      </c>
      <c r="D919" s="4">
        <f>96.3451 * CHOOSE(CONTROL!$C$9, $C$13, 100%, $E$13) + CHOOSE(CONTROL!$C$28, 0.0021, 0)</f>
        <v>96.347200000000001</v>
      </c>
      <c r="E919" s="4">
        <f>463.017982023622 * CHOOSE(CONTROL!$C$9, $C$13, 100%, $E$13) + CHOOSE(CONTROL!$C$28, 0.0021, 0)</f>
        <v>463.02008202362197</v>
      </c>
    </row>
    <row r="920" spans="1:5" ht="15">
      <c r="A920" s="13">
        <v>69153</v>
      </c>
      <c r="B920" s="4">
        <f>67.3406 * CHOOSE(CONTROL!$C$9, $C$13, 100%, $E$13) + CHOOSE(CONTROL!$C$28, 0.0272, 0)</f>
        <v>67.367799999999988</v>
      </c>
      <c r="C920" s="4">
        <f>66.9773 * CHOOSE(CONTROL!$C$9, $C$13, 100%, $E$13) + CHOOSE(CONTROL!$C$28, 0.0272, 0)</f>
        <v>67.004499999999993</v>
      </c>
      <c r="D920" s="4">
        <f>99.1027 * CHOOSE(CONTROL!$C$9, $C$13, 100%, $E$13) + CHOOSE(CONTROL!$C$28, 0.0021, 0)</f>
        <v>99.104799999999997</v>
      </c>
      <c r="E920" s="4">
        <f>481.904759726173 * CHOOSE(CONTROL!$C$9, $C$13, 100%, $E$13) + CHOOSE(CONTROL!$C$28, 0.0021, 0)</f>
        <v>481.90685972617297</v>
      </c>
    </row>
    <row r="921" spans="1:5" ht="15">
      <c r="A921" s="13">
        <v>69184</v>
      </c>
      <c r="B921" s="4">
        <f>68.9346 * CHOOSE(CONTROL!$C$9, $C$13, 100%, $E$13) + CHOOSE(CONTROL!$C$28, 0.0272, 0)</f>
        <v>68.961799999999997</v>
      </c>
      <c r="C921" s="4">
        <f>68.5713 * CHOOSE(CONTROL!$C$9, $C$13, 100%, $E$13) + CHOOSE(CONTROL!$C$28, 0.0272, 0)</f>
        <v>68.598499999999987</v>
      </c>
      <c r="D921" s="4">
        <f>98.013 * CHOOSE(CONTROL!$C$9, $C$13, 100%, $E$13) + CHOOSE(CONTROL!$C$28, 0.0021, 0)</f>
        <v>98.015100000000004</v>
      </c>
      <c r="E921" s="4">
        <f>493.444128249544 * CHOOSE(CONTROL!$C$9, $C$13, 100%, $E$13) + CHOOSE(CONTROL!$C$28, 0.0021, 0)</f>
        <v>493.44622824954399</v>
      </c>
    </row>
    <row r="922" spans="1:5" ht="15">
      <c r="A922" s="13">
        <v>69214</v>
      </c>
      <c r="B922" s="4">
        <f>69.1503 * CHOOSE(CONTROL!$C$9, $C$13, 100%, $E$13) + CHOOSE(CONTROL!$C$28, 0.0272, 0)</f>
        <v>69.177499999999995</v>
      </c>
      <c r="C922" s="4">
        <f>68.787 * CHOOSE(CONTROL!$C$9, $C$13, 100%, $E$13) + CHOOSE(CONTROL!$C$28, 0.0272, 0)</f>
        <v>68.8142</v>
      </c>
      <c r="D922" s="4">
        <f>98.9005 * CHOOSE(CONTROL!$C$9, $C$13, 100%, $E$13) + CHOOSE(CONTROL!$C$28, 0.0021, 0)</f>
        <v>98.902599999999993</v>
      </c>
      <c r="E922" s="4">
        <f>495.00545270012 * CHOOSE(CONTROL!$C$9, $C$13, 100%, $E$13) + CHOOSE(CONTROL!$C$28, 0.0021, 0)</f>
        <v>495.00755270011996</v>
      </c>
    </row>
    <row r="923" spans="1:5" ht="15">
      <c r="A923" s="13">
        <v>69245</v>
      </c>
      <c r="B923" s="4">
        <f>69.1285 * CHOOSE(CONTROL!$C$9, $C$13, 100%, $E$13) + CHOOSE(CONTROL!$C$28, 0.0272, 0)</f>
        <v>69.155699999999996</v>
      </c>
      <c r="C923" s="4">
        <f>68.7652 * CHOOSE(CONTROL!$C$9, $C$13, 100%, $E$13) + CHOOSE(CONTROL!$C$28, 0.0272, 0)</f>
        <v>68.792399999999986</v>
      </c>
      <c r="D923" s="4">
        <f>100.5018 * CHOOSE(CONTROL!$C$9, $C$13, 100%, $E$13) + CHOOSE(CONTROL!$C$28, 0.0021, 0)</f>
        <v>100.5039</v>
      </c>
      <c r="E923" s="4">
        <f>494.848008217709 * CHOOSE(CONTROL!$C$9, $C$13, 100%, $E$13) + CHOOSE(CONTROL!$C$28, 0.0021, 0)</f>
        <v>494.85010821770896</v>
      </c>
    </row>
    <row r="924" spans="1:5" ht="15">
      <c r="A924" s="13">
        <v>69276</v>
      </c>
      <c r="B924" s="4">
        <f>70.7651 * CHOOSE(CONTROL!$C$9, $C$13, 100%, $E$13) + CHOOSE(CONTROL!$C$28, 0.0272, 0)</f>
        <v>70.792299999999997</v>
      </c>
      <c r="C924" s="4">
        <f>70.4018 * CHOOSE(CONTROL!$C$9, $C$13, 100%, $E$13) + CHOOSE(CONTROL!$C$28, 0.0272, 0)</f>
        <v>70.428999999999988</v>
      </c>
      <c r="D924" s="4">
        <f>99.4443 * CHOOSE(CONTROL!$C$9, $C$13, 100%, $E$13) + CHOOSE(CONTROL!$C$28, 0.0021, 0)</f>
        <v>99.446399999999997</v>
      </c>
      <c r="E924" s="4">
        <f>506.695705519135 * CHOOSE(CONTROL!$C$9, $C$13, 100%, $E$13) + CHOOSE(CONTROL!$C$28, 0.0021, 0)</f>
        <v>506.69780551913499</v>
      </c>
    </row>
    <row r="925" spans="1:5" ht="15">
      <c r="A925" s="13">
        <v>69306</v>
      </c>
      <c r="B925" s="4">
        <f>67.9758 * CHOOSE(CONTROL!$C$9, $C$13, 100%, $E$13) + CHOOSE(CONTROL!$C$28, 0.0272, 0)</f>
        <v>68.003</v>
      </c>
      <c r="C925" s="4">
        <f>67.6126 * CHOOSE(CONTROL!$C$9, $C$13, 100%, $E$13) + CHOOSE(CONTROL!$C$28, 0.0272, 0)</f>
        <v>67.639799999999994</v>
      </c>
      <c r="D925" s="4">
        <f>98.9446 * CHOOSE(CONTROL!$C$9, $C$13, 100%, $E$13) + CHOOSE(CONTROL!$C$28, 0.0021, 0)</f>
        <v>98.946699999999993</v>
      </c>
      <c r="E925" s="4">
        <f>486.503450649927 * CHOOSE(CONTROL!$C$9, $C$13, 100%, $E$13) + CHOOSE(CONTROL!$C$28, 0.0021, 0)</f>
        <v>486.50555064992699</v>
      </c>
    </row>
    <row r="926" spans="1:5" ht="15">
      <c r="A926" s="13">
        <v>69337</v>
      </c>
      <c r="B926" s="4">
        <f>65.743 * CHOOSE(CONTROL!$C$9, $C$13, 100%, $E$13) + CHOOSE(CONTROL!$C$28, 0.0272, 0)</f>
        <v>65.770199999999988</v>
      </c>
      <c r="C926" s="4">
        <f>65.3797 * CHOOSE(CONTROL!$C$9, $C$13, 100%, $E$13) + CHOOSE(CONTROL!$C$28, 0.0272, 0)</f>
        <v>65.406899999999993</v>
      </c>
      <c r="D926" s="4">
        <f>97.6068 * CHOOSE(CONTROL!$C$9, $C$13, 100%, $E$13) + CHOOSE(CONTROL!$C$28, 0.0021, 0)</f>
        <v>97.608900000000006</v>
      </c>
      <c r="E926" s="4">
        <f>470.339150455733 * CHOOSE(CONTROL!$C$9, $C$13, 100%, $E$13) + CHOOSE(CONTROL!$C$28, 0.0021, 0)</f>
        <v>470.34125045573296</v>
      </c>
    </row>
    <row r="927" spans="1:5" ht="15">
      <c r="A927" s="13">
        <v>69367</v>
      </c>
      <c r="B927" s="4">
        <f>64.3049 * CHOOSE(CONTROL!$C$9, $C$13, 100%, $E$13) + CHOOSE(CONTROL!$C$28, 0.0272, 0)</f>
        <v>64.332099999999997</v>
      </c>
      <c r="C927" s="4">
        <f>63.9416 * CHOOSE(CONTROL!$C$9, $C$13, 100%, $E$13) + CHOOSE(CONTROL!$C$28, 0.0272, 0)</f>
        <v>63.968800000000002</v>
      </c>
      <c r="D927" s="4">
        <f>97.1469 * CHOOSE(CONTROL!$C$9, $C$13, 100%, $E$13) + CHOOSE(CONTROL!$C$28, 0.0021, 0)</f>
        <v>97.149000000000001</v>
      </c>
      <c r="E927" s="4">
        <f>459.928134056307 * CHOOSE(CONTROL!$C$9, $C$13, 100%, $E$13) + CHOOSE(CONTROL!$C$28, 0.0021, 0)</f>
        <v>459.93023405630697</v>
      </c>
    </row>
    <row r="928" spans="1:5" ht="15">
      <c r="A928" s="13">
        <v>69398</v>
      </c>
      <c r="B928" s="4">
        <f>63.3099 * CHOOSE(CONTROL!$C$9, $C$13, 100%, $E$13) + CHOOSE(CONTROL!$C$28, 0.0272, 0)</f>
        <v>63.3371</v>
      </c>
      <c r="C928" s="4">
        <f>62.9466 * CHOOSE(CONTROL!$C$9, $C$13, 100%, $E$13) + CHOOSE(CONTROL!$C$28, 0.0272, 0)</f>
        <v>62.973799999999997</v>
      </c>
      <c r="D928" s="4">
        <f>93.7607 * CHOOSE(CONTROL!$C$9, $C$13, 100%, $E$13) + CHOOSE(CONTROL!$C$28, 0.0021, 0)</f>
        <v>93.762799999999999</v>
      </c>
      <c r="E928" s="4">
        <f>452.725048986005 * CHOOSE(CONTROL!$C$9, $C$13, 100%, $E$13) + CHOOSE(CONTROL!$C$28, 0.0021, 0)</f>
        <v>452.72714898600498</v>
      </c>
    </row>
    <row r="929" spans="1:5" ht="15">
      <c r="A929" s="13">
        <v>69429</v>
      </c>
      <c r="B929" s="4">
        <f>60.5876 * CHOOSE(CONTROL!$C$9, $C$13, 100%, $E$13) + CHOOSE(CONTROL!$C$28, 0.0272, 0)</f>
        <v>60.614800000000002</v>
      </c>
      <c r="C929" s="4">
        <f>60.2244 * CHOOSE(CONTROL!$C$9, $C$13, 100%, $E$13) + CHOOSE(CONTROL!$C$28, 0.0272, 0)</f>
        <v>60.251600000000003</v>
      </c>
      <c r="D929" s="4">
        <f>90.0306 * CHOOSE(CONTROL!$C$9, $C$13, 100%, $E$13) + CHOOSE(CONTROL!$C$28, 0.0021, 0)</f>
        <v>90.032700000000006</v>
      </c>
      <c r="E929" s="4">
        <f>433.867211088191 * CHOOSE(CONTROL!$C$9, $C$13, 100%, $E$13) + CHOOSE(CONTROL!$C$28, 0.0021, 0)</f>
        <v>433.86931108819101</v>
      </c>
    </row>
    <row r="930" spans="1:5" ht="15">
      <c r="A930" s="13">
        <v>69457</v>
      </c>
      <c r="B930" s="4">
        <f>62.0079 * CHOOSE(CONTROL!$C$9, $C$13, 100%, $E$13) + CHOOSE(CONTROL!$C$28, 0.0272, 0)</f>
        <v>62.0351</v>
      </c>
      <c r="C930" s="4">
        <f>61.6446 * CHOOSE(CONTROL!$C$9, $C$13, 100%, $E$13) + CHOOSE(CONTROL!$C$28, 0.0272, 0)</f>
        <v>61.671799999999998</v>
      </c>
      <c r="D930" s="4">
        <f>93.1427 * CHOOSE(CONTROL!$C$9, $C$13, 100%, $E$13) + CHOOSE(CONTROL!$C$28, 0.0021, 0)</f>
        <v>93.144800000000004</v>
      </c>
      <c r="E930" s="4">
        <f>444.168928510813 * CHOOSE(CONTROL!$C$9, $C$13, 100%, $E$13) + CHOOSE(CONTROL!$C$28, 0.0021, 0)</f>
        <v>444.17102851081296</v>
      </c>
    </row>
    <row r="931" spans="1:5" ht="15">
      <c r="A931" s="13">
        <v>69488</v>
      </c>
      <c r="B931" s="4">
        <f>65.7375 * CHOOSE(CONTROL!$C$9, $C$13, 100%, $E$13) + CHOOSE(CONTROL!$C$28, 0.0272, 0)</f>
        <v>65.764699999999991</v>
      </c>
      <c r="C931" s="4">
        <f>65.3742 * CHOOSE(CONTROL!$C$9, $C$13, 100%, $E$13) + CHOOSE(CONTROL!$C$28, 0.0272, 0)</f>
        <v>65.401399999999995</v>
      </c>
      <c r="D931" s="4">
        <f>98.0146 * CHOOSE(CONTROL!$C$9, $C$13, 100%, $E$13) + CHOOSE(CONTROL!$C$28, 0.0021, 0)</f>
        <v>98.0167</v>
      </c>
      <c r="E931" s="4">
        <f>471.221785929131 * CHOOSE(CONTROL!$C$9, $C$13, 100%, $E$13) + CHOOSE(CONTROL!$C$28, 0.0021, 0)</f>
        <v>471.22388592913097</v>
      </c>
    </row>
    <row r="932" spans="1:5" ht="15">
      <c r="A932" s="13">
        <v>69518</v>
      </c>
      <c r="B932" s="4">
        <f>68.3874 * CHOOSE(CONTROL!$C$9, $C$13, 100%, $E$13) + CHOOSE(CONTROL!$C$28, 0.0272, 0)</f>
        <v>68.414599999999993</v>
      </c>
      <c r="C932" s="4">
        <f>68.0241 * CHOOSE(CONTROL!$C$9, $C$13, 100%, $E$13) + CHOOSE(CONTROL!$C$28, 0.0272, 0)</f>
        <v>68.051299999999998</v>
      </c>
      <c r="D932" s="4">
        <f>100.821 * CHOOSE(CONTROL!$C$9, $C$13, 100%, $E$13) + CHOOSE(CONTROL!$C$28, 0.0021, 0)</f>
        <v>100.8231</v>
      </c>
      <c r="E932" s="4">
        <f>490.443201651573 * CHOOSE(CONTROL!$C$9, $C$13, 100%, $E$13) + CHOOSE(CONTROL!$C$28, 0.0021, 0)</f>
        <v>490.445301651573</v>
      </c>
    </row>
    <row r="933" spans="1:5" ht="15">
      <c r="A933" s="13">
        <v>69549</v>
      </c>
      <c r="B933" s="4">
        <f>70.0064 * CHOOSE(CONTROL!$C$9, $C$13, 100%, $E$13) + CHOOSE(CONTROL!$C$28, 0.0272, 0)</f>
        <v>70.033599999999993</v>
      </c>
      <c r="C933" s="4">
        <f>69.6431 * CHOOSE(CONTROL!$C$9, $C$13, 100%, $E$13) + CHOOSE(CONTROL!$C$28, 0.0272, 0)</f>
        <v>69.670299999999997</v>
      </c>
      <c r="D933" s="4">
        <f>99.712 * CHOOSE(CONTROL!$C$9, $C$13, 100%, $E$13) + CHOOSE(CONTROL!$C$28, 0.0021, 0)</f>
        <v>99.714100000000002</v>
      </c>
      <c r="E933" s="4">
        <f>502.187025984944 * CHOOSE(CONTROL!$C$9, $C$13, 100%, $E$13) + CHOOSE(CONTROL!$C$28, 0.0021, 0)</f>
        <v>502.18912598494398</v>
      </c>
    </row>
    <row r="934" spans="1:5" ht="15">
      <c r="A934" s="13">
        <v>69579</v>
      </c>
      <c r="B934" s="4">
        <f>70.2255 * CHOOSE(CONTROL!$C$9, $C$13, 100%, $E$13) + CHOOSE(CONTROL!$C$28, 0.0272, 0)</f>
        <v>70.25269999999999</v>
      </c>
      <c r="C934" s="4">
        <f>69.8622 * CHOOSE(CONTROL!$C$9, $C$13, 100%, $E$13) + CHOOSE(CONTROL!$C$28, 0.0272, 0)</f>
        <v>69.889399999999995</v>
      </c>
      <c r="D934" s="4">
        <f>100.6152 * CHOOSE(CONTROL!$C$9, $C$13, 100%, $E$13) + CHOOSE(CONTROL!$C$28, 0.0021, 0)</f>
        <v>100.6173</v>
      </c>
      <c r="E934" s="4">
        <f>503.776014155122 * CHOOSE(CONTROL!$C$9, $C$13, 100%, $E$13) + CHOOSE(CONTROL!$C$28, 0.0021, 0)</f>
        <v>503.77811415512201</v>
      </c>
    </row>
    <row r="935" spans="1:5" ht="15">
      <c r="A935" s="13">
        <v>69610</v>
      </c>
      <c r="B935" s="4">
        <f>70.2034 * CHOOSE(CONTROL!$C$9, $C$13, 100%, $E$13) + CHOOSE(CONTROL!$C$28, 0.0272, 0)</f>
        <v>70.230599999999995</v>
      </c>
      <c r="C935" s="4">
        <f>69.8401 * CHOOSE(CONTROL!$C$9, $C$13, 100%, $E$13) + CHOOSE(CONTROL!$C$28, 0.0272, 0)</f>
        <v>69.8673</v>
      </c>
      <c r="D935" s="4">
        <f>102.2448 * CHOOSE(CONTROL!$C$9, $C$13, 100%, $E$13) + CHOOSE(CONTROL!$C$28, 0.0021, 0)</f>
        <v>102.2469</v>
      </c>
      <c r="E935" s="4">
        <f>503.615780053927 * CHOOSE(CONTROL!$C$9, $C$13, 100%, $E$13) + CHOOSE(CONTROL!$C$28, 0.0021, 0)</f>
        <v>503.61788005392697</v>
      </c>
    </row>
    <row r="936" spans="1:5" ht="15">
      <c r="A936" s="13">
        <v>69641</v>
      </c>
      <c r="B936" s="4">
        <f>71.8657 * CHOOSE(CONTROL!$C$9, $C$13, 100%, $E$13) + CHOOSE(CONTROL!$C$28, 0.0272, 0)</f>
        <v>71.892899999999997</v>
      </c>
      <c r="C936" s="4">
        <f>71.5024 * CHOOSE(CONTROL!$C$9, $C$13, 100%, $E$13) + CHOOSE(CONTROL!$C$28, 0.0272, 0)</f>
        <v>71.529599999999988</v>
      </c>
      <c r="D936" s="4">
        <f>101.1686 * CHOOSE(CONTROL!$C$9, $C$13, 100%, $E$13) + CHOOSE(CONTROL!$C$28, 0.0021, 0)</f>
        <v>101.1707</v>
      </c>
      <c r="E936" s="4">
        <f>515.673396168804 * CHOOSE(CONTROL!$C$9, $C$13, 100%, $E$13) + CHOOSE(CONTROL!$C$28, 0.0021, 0)</f>
        <v>515.67549616880399</v>
      </c>
    </row>
    <row r="937" spans="1:5" ht="15">
      <c r="A937" s="13">
        <v>69671</v>
      </c>
      <c r="B937" s="4">
        <f>69.0326 * CHOOSE(CONTROL!$C$9, $C$13, 100%, $E$13) + CHOOSE(CONTROL!$C$28, 0.0272, 0)</f>
        <v>69.059799999999996</v>
      </c>
      <c r="C937" s="4">
        <f>68.6693 * CHOOSE(CONTROL!$C$9, $C$13, 100%, $E$13) + CHOOSE(CONTROL!$C$28, 0.0272, 0)</f>
        <v>68.6965</v>
      </c>
      <c r="D937" s="4">
        <f>100.6601 * CHOOSE(CONTROL!$C$9, $C$13, 100%, $E$13) + CHOOSE(CONTROL!$C$28, 0.0021, 0)</f>
        <v>100.6622</v>
      </c>
      <c r="E937" s="4">
        <f>495.123372690625 * CHOOSE(CONTROL!$C$9, $C$13, 100%, $E$13) + CHOOSE(CONTROL!$C$28, 0.0021, 0)</f>
        <v>495.12547269062497</v>
      </c>
    </row>
    <row r="938" spans="1:5" ht="15">
      <c r="A938" s="13">
        <v>69702</v>
      </c>
      <c r="B938" s="4">
        <f>66.7647 * CHOOSE(CONTROL!$C$9, $C$13, 100%, $E$13) + CHOOSE(CONTROL!$C$28, 0.0272, 0)</f>
        <v>66.791899999999998</v>
      </c>
      <c r="C938" s="4">
        <f>66.4014 * CHOOSE(CONTROL!$C$9, $C$13, 100%, $E$13) + CHOOSE(CONTROL!$C$28, 0.0272, 0)</f>
        <v>66.428599999999989</v>
      </c>
      <c r="D938" s="4">
        <f>99.2986 * CHOOSE(CONTROL!$C$9, $C$13, 100%, $E$13) + CHOOSE(CONTROL!$C$28, 0.0021, 0)</f>
        <v>99.300699999999992</v>
      </c>
      <c r="E938" s="4">
        <f>478.672671634669 * CHOOSE(CONTROL!$C$9, $C$13, 100%, $E$13) + CHOOSE(CONTROL!$C$28, 0.0021, 0)</f>
        <v>478.67477163466896</v>
      </c>
    </row>
    <row r="939" spans="1:5" ht="15">
      <c r="A939" s="13">
        <v>69732</v>
      </c>
      <c r="B939" s="4">
        <f>65.3039 * CHOOSE(CONTROL!$C$9, $C$13, 100%, $E$13) + CHOOSE(CONTROL!$C$28, 0.0272, 0)</f>
        <v>65.331099999999992</v>
      </c>
      <c r="C939" s="4">
        <f>64.9406 * CHOOSE(CONTROL!$C$9, $C$13, 100%, $E$13) + CHOOSE(CONTROL!$C$28, 0.0272, 0)</f>
        <v>64.967799999999997</v>
      </c>
      <c r="D939" s="4">
        <f>98.8306 * CHOOSE(CONTROL!$C$9, $C$13, 100%, $E$13) + CHOOSE(CONTROL!$C$28, 0.0021, 0)</f>
        <v>98.832700000000003</v>
      </c>
      <c r="E939" s="4">
        <f>468.077191693191 * CHOOSE(CONTROL!$C$9, $C$13, 100%, $E$13) + CHOOSE(CONTROL!$C$28, 0.0021, 0)</f>
        <v>468.07929169319101</v>
      </c>
    </row>
    <row r="940" spans="1:5" ht="15">
      <c r="A940" s="13">
        <v>69763</v>
      </c>
      <c r="B940" s="4">
        <f>64.2933 * CHOOSE(CONTROL!$C$9, $C$13, 100%, $E$13) + CHOOSE(CONTROL!$C$28, 0.0272, 0)</f>
        <v>64.320499999999996</v>
      </c>
      <c r="C940" s="4">
        <f>63.93 * CHOOSE(CONTROL!$C$9, $C$13, 100%, $E$13) + CHOOSE(CONTROL!$C$28, 0.0272, 0)</f>
        <v>63.9572</v>
      </c>
      <c r="D940" s="4">
        <f>95.3846 * CHOOSE(CONTROL!$C$9, $C$13, 100%, $E$13) + CHOOSE(CONTROL!$C$28, 0.0021, 0)</f>
        <v>95.386700000000005</v>
      </c>
      <c r="E940" s="4">
        <f>460.746481563548 * CHOOSE(CONTROL!$C$9, $C$13, 100%, $E$13) + CHOOSE(CONTROL!$C$28, 0.0021, 0)</f>
        <v>460.74858156354799</v>
      </c>
    </row>
    <row r="941" spans="1:5" ht="15">
      <c r="A941" s="13">
        <v>69794</v>
      </c>
      <c r="B941" s="4">
        <f>61.5282 * CHOOSE(CONTROL!$C$9, $C$13, 100%, $E$13) + CHOOSE(CONTROL!$C$28, 0.0272, 0)</f>
        <v>61.555399999999999</v>
      </c>
      <c r="C941" s="4">
        <f>61.1649 * CHOOSE(CONTROL!$C$9, $C$13, 100%, $E$13) + CHOOSE(CONTROL!$C$28, 0.0272, 0)</f>
        <v>61.192100000000003</v>
      </c>
      <c r="D941" s="4">
        <f>91.5885 * CHOOSE(CONTROL!$C$9, $C$13, 100%, $E$13) + CHOOSE(CONTROL!$C$28, 0.0021, 0)</f>
        <v>91.590599999999995</v>
      </c>
      <c r="E941" s="4">
        <f>441.55451840451 * CHOOSE(CONTROL!$C$9, $C$13, 100%, $E$13) + CHOOSE(CONTROL!$C$28, 0.0021, 0)</f>
        <v>441.55661840451</v>
      </c>
    </row>
    <row r="942" spans="1:5" ht="15">
      <c r="A942" s="13">
        <v>69822</v>
      </c>
      <c r="B942" s="4">
        <f>62.9708 * CHOOSE(CONTROL!$C$9, $C$13, 100%, $E$13) + CHOOSE(CONTROL!$C$28, 0.0272, 0)</f>
        <v>62.997999999999998</v>
      </c>
      <c r="C942" s="4">
        <f>62.6075 * CHOOSE(CONTROL!$C$9, $C$13, 100%, $E$13) + CHOOSE(CONTROL!$C$28, 0.0272, 0)</f>
        <v>62.634700000000002</v>
      </c>
      <c r="D942" s="4">
        <f>94.7557 * CHOOSE(CONTROL!$C$9, $C$13, 100%, $E$13) + CHOOSE(CONTROL!$C$28, 0.0021, 0)</f>
        <v>94.757800000000003</v>
      </c>
      <c r="E942" s="4">
        <f>452.038762797804 * CHOOSE(CONTROL!$C$9, $C$13, 100%, $E$13) + CHOOSE(CONTROL!$C$28, 0.0021, 0)</f>
        <v>452.04086279780398</v>
      </c>
    </row>
    <row r="943" spans="1:5" ht="15">
      <c r="A943" s="13">
        <v>69853</v>
      </c>
      <c r="B943" s="4">
        <f>66.759 * CHOOSE(CONTROL!$C$9, $C$13, 100%, $E$13) + CHOOSE(CONTROL!$C$28, 0.0272, 0)</f>
        <v>66.786199999999994</v>
      </c>
      <c r="C943" s="4">
        <f>66.3957 * CHOOSE(CONTROL!$C$9, $C$13, 100%, $E$13) + CHOOSE(CONTROL!$C$28, 0.0272, 0)</f>
        <v>66.422899999999998</v>
      </c>
      <c r="D943" s="4">
        <f>99.7136 * CHOOSE(CONTROL!$C$9, $C$13, 100%, $E$13) + CHOOSE(CONTROL!$C$28, 0.0021, 0)</f>
        <v>99.715699999999998</v>
      </c>
      <c r="E943" s="4">
        <f>479.570945741176 * CHOOSE(CONTROL!$C$9, $C$13, 100%, $E$13) + CHOOSE(CONTROL!$C$28, 0.0021, 0)</f>
        <v>479.57304574117597</v>
      </c>
    </row>
    <row r="944" spans="1:5" ht="15">
      <c r="A944" s="13">
        <v>69883</v>
      </c>
      <c r="B944" s="4">
        <f>69.4506 * CHOOSE(CONTROL!$C$9, $C$13, 100%, $E$13) + CHOOSE(CONTROL!$C$28, 0.0272, 0)</f>
        <v>69.477799999999988</v>
      </c>
      <c r="C944" s="4">
        <f>69.0873 * CHOOSE(CONTROL!$C$9, $C$13, 100%, $E$13) + CHOOSE(CONTROL!$C$28, 0.0272, 0)</f>
        <v>69.114499999999992</v>
      </c>
      <c r="D944" s="4">
        <f>102.5696 * CHOOSE(CONTROL!$C$9, $C$13, 100%, $E$13) + CHOOSE(CONTROL!$C$28, 0.0021, 0)</f>
        <v>102.57169999999999</v>
      </c>
      <c r="E944" s="4">
        <f>499.132928637023 * CHOOSE(CONTROL!$C$9, $C$13, 100%, $E$13) + CHOOSE(CONTROL!$C$28, 0.0021, 0)</f>
        <v>499.13502863702297</v>
      </c>
    </row>
    <row r="945" spans="1:5" ht="15">
      <c r="A945" s="13">
        <v>69914</v>
      </c>
      <c r="B945" s="4">
        <f>71.0951 * CHOOSE(CONTROL!$C$9, $C$13, 100%, $E$13) + CHOOSE(CONTROL!$C$28, 0.0272, 0)</f>
        <v>71.122299999999996</v>
      </c>
      <c r="C945" s="4">
        <f>70.7318 * CHOOSE(CONTROL!$C$9, $C$13, 100%, $E$13) + CHOOSE(CONTROL!$C$28, 0.0272, 0)</f>
        <v>70.759</v>
      </c>
      <c r="D945" s="4">
        <f>101.4411 * CHOOSE(CONTROL!$C$9, $C$13, 100%, $E$13) + CHOOSE(CONTROL!$C$28, 0.0021, 0)</f>
        <v>101.4432</v>
      </c>
      <c r="E945" s="4">
        <f>511.084831351088 * CHOOSE(CONTROL!$C$9, $C$13, 100%, $E$13) + CHOOSE(CONTROL!$C$28, 0.0021, 0)</f>
        <v>511.08693135108797</v>
      </c>
    </row>
    <row r="946" spans="1:5" ht="15">
      <c r="A946" s="13">
        <v>69944</v>
      </c>
      <c r="B946" s="4">
        <f>71.3176 * CHOOSE(CONTROL!$C$9, $C$13, 100%, $E$13) + CHOOSE(CONTROL!$C$28, 0.0272, 0)</f>
        <v>71.344799999999992</v>
      </c>
      <c r="C946" s="4">
        <f>70.9543 * CHOOSE(CONTROL!$C$9, $C$13, 100%, $E$13) + CHOOSE(CONTROL!$C$28, 0.0272, 0)</f>
        <v>70.981499999999997</v>
      </c>
      <c r="D946" s="4">
        <f>102.3601 * CHOOSE(CONTROL!$C$9, $C$13, 100%, $E$13) + CHOOSE(CONTROL!$C$28, 0.0021, 0)</f>
        <v>102.3622</v>
      </c>
      <c r="E946" s="4">
        <f>512.701973389717 * CHOOSE(CONTROL!$C$9, $C$13, 100%, $E$13) + CHOOSE(CONTROL!$C$28, 0.0021, 0)</f>
        <v>512.704073389717</v>
      </c>
    </row>
    <row r="947" spans="1:5" ht="15">
      <c r="A947" s="13">
        <v>69975</v>
      </c>
      <c r="B947" s="4">
        <f>71.2952 * CHOOSE(CONTROL!$C$9, $C$13, 100%, $E$13) + CHOOSE(CONTROL!$C$28, 0.0272, 0)</f>
        <v>71.322399999999988</v>
      </c>
      <c r="C947" s="4">
        <f>70.9319 * CHOOSE(CONTROL!$C$9, $C$13, 100%, $E$13) + CHOOSE(CONTROL!$C$28, 0.0272, 0)</f>
        <v>70.959099999999992</v>
      </c>
      <c r="D947" s="4">
        <f>104.0185 * CHOOSE(CONTROL!$C$9, $C$13, 100%, $E$13) + CHOOSE(CONTROL!$C$28, 0.0021, 0)</f>
        <v>104.0206</v>
      </c>
      <c r="E947" s="4">
        <f>512.538900242964 * CHOOSE(CONTROL!$C$9, $C$13, 100%, $E$13) + CHOOSE(CONTROL!$C$28, 0.0021, 0)</f>
        <v>512.54100024296406</v>
      </c>
    </row>
    <row r="948" spans="1:5" ht="15">
      <c r="A948" s="13">
        <v>70006</v>
      </c>
      <c r="B948" s="4">
        <f>72.9836 * CHOOSE(CONTROL!$C$9, $C$13, 100%, $E$13) + CHOOSE(CONTROL!$C$28, 0.0272, 0)</f>
        <v>73.010799999999989</v>
      </c>
      <c r="C948" s="4">
        <f>72.6203 * CHOOSE(CONTROL!$C$9, $C$13, 100%, $E$13) + CHOOSE(CONTROL!$C$28, 0.0272, 0)</f>
        <v>72.647499999999994</v>
      </c>
      <c r="D948" s="4">
        <f>102.9233 * CHOOSE(CONTROL!$C$9, $C$13, 100%, $E$13) + CHOOSE(CONTROL!$C$28, 0.0021, 0)</f>
        <v>102.9254</v>
      </c>
      <c r="E948" s="4">
        <f>524.810154536086 * CHOOSE(CONTROL!$C$9, $C$13, 100%, $E$13) + CHOOSE(CONTROL!$C$28, 0.0021, 0)</f>
        <v>524.81225453608602</v>
      </c>
    </row>
    <row r="949" spans="1:5" ht="15">
      <c r="A949" s="13">
        <v>70036</v>
      </c>
      <c r="B949" s="4">
        <f>70.106 * CHOOSE(CONTROL!$C$9, $C$13, 100%, $E$13) + CHOOSE(CONTROL!$C$28, 0.0272, 0)</f>
        <v>70.133199999999988</v>
      </c>
      <c r="C949" s="4">
        <f>69.7427 * CHOOSE(CONTROL!$C$9, $C$13, 100%, $E$13) + CHOOSE(CONTROL!$C$28, 0.0272, 0)</f>
        <v>69.769899999999993</v>
      </c>
      <c r="D949" s="4">
        <f>102.4059 * CHOOSE(CONTROL!$C$9, $C$13, 100%, $E$13) + CHOOSE(CONTROL!$C$28, 0.0021, 0)</f>
        <v>102.408</v>
      </c>
      <c r="E949" s="4">
        <f>503.896023465084 * CHOOSE(CONTROL!$C$9, $C$13, 100%, $E$13) + CHOOSE(CONTROL!$C$28, 0.0021, 0)</f>
        <v>503.89812346508398</v>
      </c>
    </row>
    <row r="950" spans="1:5" ht="15">
      <c r="A950" s="13">
        <v>70067</v>
      </c>
      <c r="B950" s="4">
        <f>67.8024 * CHOOSE(CONTROL!$C$9, $C$13, 100%, $E$13) + CHOOSE(CONTROL!$C$28, 0.0272, 0)</f>
        <v>67.829599999999999</v>
      </c>
      <c r="C950" s="4">
        <f>67.4391 * CHOOSE(CONTROL!$C$9, $C$13, 100%, $E$13) + CHOOSE(CONTROL!$C$28, 0.0272, 0)</f>
        <v>67.46629999999999</v>
      </c>
      <c r="D950" s="4">
        <f>101.0203 * CHOOSE(CONTROL!$C$9, $C$13, 100%, $E$13) + CHOOSE(CONTROL!$C$28, 0.0021, 0)</f>
        <v>101.0224</v>
      </c>
      <c r="E950" s="4">
        <f>487.153847065165 * CHOOSE(CONTROL!$C$9, $C$13, 100%, $E$13) + CHOOSE(CONTROL!$C$28, 0.0021, 0)</f>
        <v>487.15594706516498</v>
      </c>
    </row>
    <row r="951" spans="1:5" ht="15">
      <c r="A951" s="13">
        <v>70097</v>
      </c>
      <c r="B951" s="4">
        <f>66.3187 * CHOOSE(CONTROL!$C$9, $C$13, 100%, $E$13) + CHOOSE(CONTROL!$C$28, 0.0272, 0)</f>
        <v>66.3459</v>
      </c>
      <c r="C951" s="4">
        <f>65.9554 * CHOOSE(CONTROL!$C$9, $C$13, 100%, $E$13) + CHOOSE(CONTROL!$C$28, 0.0272, 0)</f>
        <v>65.982599999999991</v>
      </c>
      <c r="D951" s="4">
        <f>100.544 * CHOOSE(CONTROL!$C$9, $C$13, 100%, $E$13) + CHOOSE(CONTROL!$C$28, 0.0021, 0)</f>
        <v>100.5461</v>
      </c>
      <c r="E951" s="4">
        <f>476.370635236159 * CHOOSE(CONTROL!$C$9, $C$13, 100%, $E$13) + CHOOSE(CONTROL!$C$28, 0.0021, 0)</f>
        <v>476.37273523615897</v>
      </c>
    </row>
    <row r="952" spans="1:5" ht="15">
      <c r="A952" s="13">
        <v>70128</v>
      </c>
      <c r="B952" s="4">
        <f>65.2921 * CHOOSE(CONTROL!$C$9, $C$13, 100%, $E$13) + CHOOSE(CONTROL!$C$28, 0.0272, 0)</f>
        <v>65.319299999999998</v>
      </c>
      <c r="C952" s="4">
        <f>64.9289 * CHOOSE(CONTROL!$C$9, $C$13, 100%, $E$13) + CHOOSE(CONTROL!$C$28, 0.0272, 0)</f>
        <v>64.956099999999992</v>
      </c>
      <c r="D952" s="4">
        <f>97.0371 * CHOOSE(CONTROL!$C$9, $C$13, 100%, $E$13) + CHOOSE(CONTROL!$C$28, 0.0021, 0)</f>
        <v>97.039199999999994</v>
      </c>
      <c r="E952" s="4">
        <f>468.910038772235 * CHOOSE(CONTROL!$C$9, $C$13, 100%, $E$13) + CHOOSE(CONTROL!$C$28, 0.0021, 0)</f>
        <v>468.91213877223498</v>
      </c>
    </row>
    <row r="953" spans="1:5" ht="15">
      <c r="A953" s="13">
        <v>70159</v>
      </c>
      <c r="B953" s="4">
        <f>62.4836 * CHOOSE(CONTROL!$C$9, $C$13, 100%, $E$13) + CHOOSE(CONTROL!$C$28, 0.0272, 0)</f>
        <v>62.510800000000003</v>
      </c>
      <c r="C953" s="4">
        <f>62.1203 * CHOOSE(CONTROL!$C$9, $C$13, 100%, $E$13) + CHOOSE(CONTROL!$C$28, 0.0272, 0)</f>
        <v>62.147500000000001</v>
      </c>
      <c r="D953" s="4">
        <f>93.174 * CHOOSE(CONTROL!$C$9, $C$13, 100%, $E$13) + CHOOSE(CONTROL!$C$28, 0.0021, 0)</f>
        <v>93.176100000000005</v>
      </c>
      <c r="E953" s="4">
        <f>449.378030283574 * CHOOSE(CONTROL!$C$9, $C$13, 100%, $E$13) + CHOOSE(CONTROL!$C$28, 0.0021, 0)</f>
        <v>449.38013028357398</v>
      </c>
    </row>
    <row r="954" spans="1:5" ht="15">
      <c r="A954" s="13">
        <v>70188</v>
      </c>
      <c r="B954" s="4">
        <f>63.9488 * CHOOSE(CONTROL!$C$9, $C$13, 100%, $E$13) + CHOOSE(CONTROL!$C$28, 0.0272, 0)</f>
        <v>63.975999999999999</v>
      </c>
      <c r="C954" s="4">
        <f>63.5855 * CHOOSE(CONTROL!$C$9, $C$13, 100%, $E$13) + CHOOSE(CONTROL!$C$28, 0.0272, 0)</f>
        <v>63.612700000000004</v>
      </c>
      <c r="D954" s="4">
        <f>96.3971 * CHOOSE(CONTROL!$C$9, $C$13, 100%, $E$13) + CHOOSE(CONTROL!$C$28, 0.0021, 0)</f>
        <v>96.399199999999993</v>
      </c>
      <c r="E954" s="4">
        <f>460.048035680628 * CHOOSE(CONTROL!$C$9, $C$13, 100%, $E$13) + CHOOSE(CONTROL!$C$28, 0.0021, 0)</f>
        <v>460.05013568062799</v>
      </c>
    </row>
    <row r="955" spans="1:5" ht="15">
      <c r="A955" s="13">
        <v>70219</v>
      </c>
      <c r="B955" s="4">
        <f>67.7966 * CHOOSE(CONTROL!$C$9, $C$13, 100%, $E$13) + CHOOSE(CONTROL!$C$28, 0.0272, 0)</f>
        <v>67.823799999999991</v>
      </c>
      <c r="C955" s="4">
        <f>67.4333 * CHOOSE(CONTROL!$C$9, $C$13, 100%, $E$13) + CHOOSE(CONTROL!$C$28, 0.0272, 0)</f>
        <v>67.460499999999996</v>
      </c>
      <c r="D955" s="4">
        <f>101.4427 * CHOOSE(CONTROL!$C$9, $C$13, 100%, $E$13) + CHOOSE(CONTROL!$C$28, 0.0021, 0)</f>
        <v>101.4448</v>
      </c>
      <c r="E955" s="4">
        <f>488.068036891816 * CHOOSE(CONTROL!$C$9, $C$13, 100%, $E$13) + CHOOSE(CONTROL!$C$28, 0.0021, 0)</f>
        <v>488.07013689181599</v>
      </c>
    </row>
    <row r="956" spans="1:5" ht="15">
      <c r="A956" s="13">
        <v>70249</v>
      </c>
      <c r="B956" s="4">
        <f>70.5305 * CHOOSE(CONTROL!$C$9, $C$13, 100%, $E$13) + CHOOSE(CONTROL!$C$28, 0.0272, 0)</f>
        <v>70.557699999999997</v>
      </c>
      <c r="C956" s="4">
        <f>70.1673 * CHOOSE(CONTROL!$C$9, $C$13, 100%, $E$13) + CHOOSE(CONTROL!$C$28, 0.0272, 0)</f>
        <v>70.194499999999991</v>
      </c>
      <c r="D956" s="4">
        <f>104.3491 * CHOOSE(CONTROL!$C$9, $C$13, 100%, $E$13) + CHOOSE(CONTROL!$C$28, 0.0021, 0)</f>
        <v>104.35120000000001</v>
      </c>
      <c r="E956" s="4">
        <f>507.976621167978 * CHOOSE(CONTROL!$C$9, $C$13, 100%, $E$13) + CHOOSE(CONTROL!$C$28, 0.0021, 0)</f>
        <v>507.97872116797799</v>
      </c>
    </row>
    <row r="957" spans="1:5" ht="15">
      <c r="A957" s="13">
        <v>70280</v>
      </c>
      <c r="B957" s="4">
        <f>72.2009 * CHOOSE(CONTROL!$C$9, $C$13, 100%, $E$13) + CHOOSE(CONTROL!$C$28, 0.0272, 0)</f>
        <v>72.228099999999998</v>
      </c>
      <c r="C957" s="4">
        <f>71.8376 * CHOOSE(CONTROL!$C$9, $C$13, 100%, $E$13) + CHOOSE(CONTROL!$C$28, 0.0272, 0)</f>
        <v>71.864799999999988</v>
      </c>
      <c r="D957" s="4">
        <f>103.2006 * CHOOSE(CONTROL!$C$9, $C$13, 100%, $E$13) + CHOOSE(CONTROL!$C$28, 0.0021, 0)</f>
        <v>103.20269999999999</v>
      </c>
      <c r="E957" s="4">
        <f>520.14028901854 * CHOOSE(CONTROL!$C$9, $C$13, 100%, $E$13) + CHOOSE(CONTROL!$C$28, 0.0021, 0)</f>
        <v>520.14238901854003</v>
      </c>
    </row>
    <row r="958" spans="1:5" ht="15">
      <c r="A958" s="13">
        <v>70310</v>
      </c>
      <c r="B958" s="4">
        <f>72.4269 * CHOOSE(CONTROL!$C$9, $C$13, 100%, $E$13) + CHOOSE(CONTROL!$C$28, 0.0272, 0)</f>
        <v>72.454099999999997</v>
      </c>
      <c r="C958" s="4">
        <f>72.0636 * CHOOSE(CONTROL!$C$9, $C$13, 100%, $E$13) + CHOOSE(CONTROL!$C$28, 0.0272, 0)</f>
        <v>72.090799999999987</v>
      </c>
      <c r="D958" s="4">
        <f>104.136 * CHOOSE(CONTROL!$C$9, $C$13, 100%, $E$13) + CHOOSE(CONTROL!$C$28, 0.0021, 0)</f>
        <v>104.13809999999999</v>
      </c>
      <c r="E958" s="4">
        <f>521.78608375898 * CHOOSE(CONTROL!$C$9, $C$13, 100%, $E$13) + CHOOSE(CONTROL!$C$28, 0.0021, 0)</f>
        <v>521.78818375898004</v>
      </c>
    </row>
    <row r="959" spans="1:5" ht="15">
      <c r="A959" s="13">
        <v>70341</v>
      </c>
      <c r="B959" s="4">
        <f>72.4041 * CHOOSE(CONTROL!$C$9, $C$13, 100%, $E$13) + CHOOSE(CONTROL!$C$28, 0.0272, 0)</f>
        <v>72.431299999999993</v>
      </c>
      <c r="C959" s="4">
        <f>72.0408 * CHOOSE(CONTROL!$C$9, $C$13, 100%, $E$13) + CHOOSE(CONTROL!$C$28, 0.0272, 0)</f>
        <v>72.067999999999998</v>
      </c>
      <c r="D959" s="4">
        <f>105.8237 * CHOOSE(CONTROL!$C$9, $C$13, 100%, $E$13) + CHOOSE(CONTROL!$C$28, 0.0021, 0)</f>
        <v>105.8258</v>
      </c>
      <c r="E959" s="4">
        <f>521.620121264146 * CHOOSE(CONTROL!$C$9, $C$13, 100%, $E$13) + CHOOSE(CONTROL!$C$28, 0.0021, 0)</f>
        <v>521.62222126414599</v>
      </c>
    </row>
    <row r="960" spans="1:5" ht="15">
      <c r="A960" s="13">
        <v>70372</v>
      </c>
      <c r="B960" s="4">
        <f>74.1191 * CHOOSE(CONTROL!$C$9, $C$13, 100%, $E$13) + CHOOSE(CONTROL!$C$28, 0.0272, 0)</f>
        <v>74.146299999999997</v>
      </c>
      <c r="C960" s="4">
        <f>73.7558 * CHOOSE(CONTROL!$C$9, $C$13, 100%, $E$13) + CHOOSE(CONTROL!$C$28, 0.0272, 0)</f>
        <v>73.782999999999987</v>
      </c>
      <c r="D960" s="4">
        <f>104.7091 * CHOOSE(CONTROL!$C$9, $C$13, 100%, $E$13) + CHOOSE(CONTROL!$C$28, 0.0021, 0)</f>
        <v>104.71120000000001</v>
      </c>
      <c r="E960" s="4">
        <f>534.108799000426 * CHOOSE(CONTROL!$C$9, $C$13, 100%, $E$13) + CHOOSE(CONTROL!$C$28, 0.0021, 0)</f>
        <v>534.110899000426</v>
      </c>
    </row>
    <row r="961" spans="1:5" ht="15">
      <c r="A961" s="13">
        <v>70402</v>
      </c>
      <c r="B961" s="4">
        <f>71.1962 * CHOOSE(CONTROL!$C$9, $C$13, 100%, $E$13) + CHOOSE(CONTROL!$C$28, 0.0272, 0)</f>
        <v>71.223399999999998</v>
      </c>
      <c r="C961" s="4">
        <f>70.8329 * CHOOSE(CONTROL!$C$9, $C$13, 100%, $E$13) + CHOOSE(CONTROL!$C$28, 0.0272, 0)</f>
        <v>70.860099999999989</v>
      </c>
      <c r="D961" s="4">
        <f>104.1825 * CHOOSE(CONTROL!$C$9, $C$13, 100%, $E$13) + CHOOSE(CONTROL!$C$28, 0.0021, 0)</f>
        <v>104.1846</v>
      </c>
      <c r="E961" s="4">
        <f>512.824109037929 * CHOOSE(CONTROL!$C$9, $C$13, 100%, $E$13) + CHOOSE(CONTROL!$C$28, 0.0021, 0)</f>
        <v>512.82620903792906</v>
      </c>
    </row>
    <row r="962" spans="1:5" ht="15">
      <c r="A962" s="13">
        <v>70433</v>
      </c>
      <c r="B962" s="4">
        <f>68.8564 * CHOOSE(CONTROL!$C$9, $C$13, 100%, $E$13) + CHOOSE(CONTROL!$C$28, 0.0272, 0)</f>
        <v>68.883599999999987</v>
      </c>
      <c r="C962" s="4">
        <f>68.4931 * CHOOSE(CONTROL!$C$9, $C$13, 100%, $E$13) + CHOOSE(CONTROL!$C$28, 0.0272, 0)</f>
        <v>68.520299999999992</v>
      </c>
      <c r="D962" s="4">
        <f>102.7725 * CHOOSE(CONTROL!$C$9, $C$13, 100%, $E$13) + CHOOSE(CONTROL!$C$28, 0.0021, 0)</f>
        <v>102.77459999999999</v>
      </c>
      <c r="E962" s="4">
        <f>495.78529290161 * CHOOSE(CONTROL!$C$9, $C$13, 100%, $E$13) + CHOOSE(CONTROL!$C$28, 0.0021, 0)</f>
        <v>495.78739290160996</v>
      </c>
    </row>
    <row r="963" spans="1:5" ht="15">
      <c r="A963" s="13">
        <v>70463</v>
      </c>
      <c r="B963" s="4">
        <f>67.3494 * CHOOSE(CONTROL!$C$9, $C$13, 100%, $E$13) + CHOOSE(CONTROL!$C$28, 0.0272, 0)</f>
        <v>67.376599999999996</v>
      </c>
      <c r="C963" s="4">
        <f>66.9861 * CHOOSE(CONTROL!$C$9, $C$13, 100%, $E$13) + CHOOSE(CONTROL!$C$28, 0.0272, 0)</f>
        <v>67.013299999999987</v>
      </c>
      <c r="D963" s="4">
        <f>102.2877 * CHOOSE(CONTROL!$C$9, $C$13, 100%, $E$13) + CHOOSE(CONTROL!$C$28, 0.0021, 0)</f>
        <v>102.2898</v>
      </c>
      <c r="E963" s="4">
        <f>484.811022930693 * CHOOSE(CONTROL!$C$9, $C$13, 100%, $E$13) + CHOOSE(CONTROL!$C$28, 0.0021, 0)</f>
        <v>484.813122930693</v>
      </c>
    </row>
    <row r="964" spans="1:5" ht="15">
      <c r="A964" s="13">
        <v>70494</v>
      </c>
      <c r="B964" s="4">
        <f>66.3067 * CHOOSE(CONTROL!$C$9, $C$13, 100%, $E$13) + CHOOSE(CONTROL!$C$28, 0.0272, 0)</f>
        <v>66.3339</v>
      </c>
      <c r="C964" s="4">
        <f>65.9434 * CHOOSE(CONTROL!$C$9, $C$13, 100%, $E$13) + CHOOSE(CONTROL!$C$28, 0.0272, 0)</f>
        <v>65.97059999999999</v>
      </c>
      <c r="D964" s="4">
        <f>98.7189 * CHOOSE(CONTROL!$C$9, $C$13, 100%, $E$13) + CHOOSE(CONTROL!$C$28, 0.0021, 0)</f>
        <v>98.721000000000004</v>
      </c>
      <c r="E964" s="4">
        <f>477.218238792025 * CHOOSE(CONTROL!$C$9, $C$13, 100%, $E$13) + CHOOSE(CONTROL!$C$28, 0.0021, 0)</f>
        <v>477.22033879202496</v>
      </c>
    </row>
    <row r="965" spans="1:5" ht="15">
      <c r="A965" s="13">
        <v>70525</v>
      </c>
      <c r="B965" s="4">
        <f>63.454 * CHOOSE(CONTROL!$C$9, $C$13, 100%, $E$13) + CHOOSE(CONTROL!$C$28, 0.0272, 0)</f>
        <v>63.481200000000001</v>
      </c>
      <c r="C965" s="4">
        <f>63.0907 * CHOOSE(CONTROL!$C$9, $C$13, 100%, $E$13) + CHOOSE(CONTROL!$C$28, 0.0272, 0)</f>
        <v>63.117899999999999</v>
      </c>
      <c r="D965" s="4">
        <f>94.7875 * CHOOSE(CONTROL!$C$9, $C$13, 100%, $E$13) + CHOOSE(CONTROL!$C$28, 0.0021, 0)</f>
        <v>94.789599999999993</v>
      </c>
      <c r="E965" s="4">
        <f>457.340160012915 * CHOOSE(CONTROL!$C$9, $C$13, 100%, $E$13) + CHOOSE(CONTROL!$C$28, 0.0021, 0)</f>
        <v>457.34226001291501</v>
      </c>
    </row>
    <row r="966" spans="1:5" ht="15">
      <c r="A966" s="13">
        <v>70553</v>
      </c>
      <c r="B966" s="4">
        <f>64.9422 * CHOOSE(CONTROL!$C$9, $C$13, 100%, $E$13) + CHOOSE(CONTROL!$C$28, 0.0272, 0)</f>
        <v>64.969399999999993</v>
      </c>
      <c r="C966" s="4">
        <f>64.579 * CHOOSE(CONTROL!$C$9, $C$13, 100%, $E$13) + CHOOSE(CONTROL!$C$28, 0.0272, 0)</f>
        <v>64.606199999999987</v>
      </c>
      <c r="D966" s="4">
        <f>98.0676 * CHOOSE(CONTROL!$C$9, $C$13, 100%, $E$13) + CHOOSE(CONTROL!$C$28, 0.0021, 0)</f>
        <v>98.069699999999997</v>
      </c>
      <c r="E966" s="4">
        <f>468.199217747776 * CHOOSE(CONTROL!$C$9, $C$13, 100%, $E$13) + CHOOSE(CONTROL!$C$28, 0.0021, 0)</f>
        <v>468.20131774777599</v>
      </c>
    </row>
    <row r="967" spans="1:5" ht="15">
      <c r="A967" s="13">
        <v>70584</v>
      </c>
      <c r="B967" s="4">
        <f>68.8506 * CHOOSE(CONTROL!$C$9, $C$13, 100%, $E$13) + CHOOSE(CONTROL!$C$28, 0.0272, 0)</f>
        <v>68.877799999999993</v>
      </c>
      <c r="C967" s="4">
        <f>68.4873 * CHOOSE(CONTROL!$C$9, $C$13, 100%, $E$13) + CHOOSE(CONTROL!$C$28, 0.0272, 0)</f>
        <v>68.514499999999998</v>
      </c>
      <c r="D967" s="4">
        <f>103.2023 * CHOOSE(CONTROL!$C$9, $C$13, 100%, $E$13) + CHOOSE(CONTROL!$C$28, 0.0021, 0)</f>
        <v>103.20439999999999</v>
      </c>
      <c r="E967" s="4">
        <f>496.715680444896 * CHOOSE(CONTROL!$C$9, $C$13, 100%, $E$13) + CHOOSE(CONTROL!$C$28, 0.0021, 0)</f>
        <v>496.71778044489599</v>
      </c>
    </row>
    <row r="968" spans="1:5" ht="15">
      <c r="A968" s="13">
        <v>70614</v>
      </c>
      <c r="B968" s="4">
        <f>71.6275 * CHOOSE(CONTROL!$C$9, $C$13, 100%, $E$13) + CHOOSE(CONTROL!$C$28, 0.0272, 0)</f>
        <v>71.654699999999991</v>
      </c>
      <c r="C968" s="4">
        <f>71.2642 * CHOOSE(CONTROL!$C$9, $C$13, 100%, $E$13) + CHOOSE(CONTROL!$C$28, 0.0272, 0)</f>
        <v>71.291399999999996</v>
      </c>
      <c r="D968" s="4">
        <f>106.16 * CHOOSE(CONTROL!$C$9, $C$13, 100%, $E$13) + CHOOSE(CONTROL!$C$28, 0.0021, 0)</f>
        <v>106.1621</v>
      </c>
      <c r="E968" s="4">
        <f>516.977007223032 * CHOOSE(CONTROL!$C$9, $C$13, 100%, $E$13) + CHOOSE(CONTROL!$C$28, 0.0021, 0)</f>
        <v>516.97910722303209</v>
      </c>
    </row>
    <row r="969" spans="1:5" ht="15">
      <c r="A969" s="13">
        <v>70645</v>
      </c>
      <c r="B969" s="4">
        <f>73.3241 * CHOOSE(CONTROL!$C$9, $C$13, 100%, $E$13) + CHOOSE(CONTROL!$C$28, 0.0272, 0)</f>
        <v>73.351299999999995</v>
      </c>
      <c r="C969" s="4">
        <f>72.9608 * CHOOSE(CONTROL!$C$9, $C$13, 100%, $E$13) + CHOOSE(CONTROL!$C$28, 0.0272, 0)</f>
        <v>72.988</v>
      </c>
      <c r="D969" s="4">
        <f>104.9913 * CHOOSE(CONTROL!$C$9, $C$13, 100%, $E$13) + CHOOSE(CONTROL!$C$28, 0.0021, 0)</f>
        <v>104.99339999999999</v>
      </c>
      <c r="E969" s="4">
        <f>529.356192288243 * CHOOSE(CONTROL!$C$9, $C$13, 100%, $E$13) + CHOOSE(CONTROL!$C$28, 0.0021, 0)</f>
        <v>529.35829228824309</v>
      </c>
    </row>
    <row r="970" spans="1:5" ht="15">
      <c r="A970" s="13">
        <v>70675</v>
      </c>
      <c r="B970" s="4">
        <f>73.5536 * CHOOSE(CONTROL!$C$9, $C$13, 100%, $E$13) + CHOOSE(CONTROL!$C$28, 0.0272, 0)</f>
        <v>73.580799999999996</v>
      </c>
      <c r="C970" s="4">
        <f>73.1904 * CHOOSE(CONTROL!$C$9, $C$13, 100%, $E$13) + CHOOSE(CONTROL!$C$28, 0.0272, 0)</f>
        <v>73.21759999999999</v>
      </c>
      <c r="D970" s="4">
        <f>105.9431 * CHOOSE(CONTROL!$C$9, $C$13, 100%, $E$13) + CHOOSE(CONTROL!$C$28, 0.0021, 0)</f>
        <v>105.9452</v>
      </c>
      <c r="E970" s="4">
        <f>531.03114740224 * CHOOSE(CONTROL!$C$9, $C$13, 100%, $E$13) + CHOOSE(CONTROL!$C$28, 0.0021, 0)</f>
        <v>531.03324740224002</v>
      </c>
    </row>
    <row r="971" spans="1:5" ht="15">
      <c r="A971" s="13">
        <v>70706</v>
      </c>
      <c r="B971" s="4">
        <f>73.5305 * CHOOSE(CONTROL!$C$9, $C$13, 100%, $E$13) + CHOOSE(CONTROL!$C$28, 0.0272, 0)</f>
        <v>73.557699999999997</v>
      </c>
      <c r="C971" s="4">
        <f>73.1672 * CHOOSE(CONTROL!$C$9, $C$13, 100%, $E$13) + CHOOSE(CONTROL!$C$28, 0.0272, 0)</f>
        <v>73.194399999999987</v>
      </c>
      <c r="D971" s="4">
        <f>107.6607 * CHOOSE(CONTROL!$C$9, $C$13, 100%, $E$13) + CHOOSE(CONTROL!$C$28, 0.0021, 0)</f>
        <v>107.6628</v>
      </c>
      <c r="E971" s="4">
        <f>530.862244365534 * CHOOSE(CONTROL!$C$9, $C$13, 100%, $E$13) + CHOOSE(CONTROL!$C$28, 0.0021, 0)</f>
        <v>530.86434436553407</v>
      </c>
    </row>
    <row r="972" spans="1:5" ht="15">
      <c r="A972" s="13">
        <v>70737</v>
      </c>
      <c r="B972" s="4">
        <f>75.2725 * CHOOSE(CONTROL!$C$9, $C$13, 100%, $E$13) + CHOOSE(CONTROL!$C$28, 0.0272, 0)</f>
        <v>75.299699999999987</v>
      </c>
      <c r="C972" s="4">
        <f>74.9092 * CHOOSE(CONTROL!$C$9, $C$13, 100%, $E$13) + CHOOSE(CONTROL!$C$28, 0.0272, 0)</f>
        <v>74.936399999999992</v>
      </c>
      <c r="D972" s="4">
        <f>106.5264 * CHOOSE(CONTROL!$C$9, $C$13, 100%, $E$13) + CHOOSE(CONTROL!$C$28, 0.0021, 0)</f>
        <v>106.52849999999999</v>
      </c>
      <c r="E972" s="4">
        <f>543.572197877627 * CHOOSE(CONTROL!$C$9, $C$13, 100%, $E$13) + CHOOSE(CONTROL!$C$28, 0.0021, 0)</f>
        <v>543.57429787762703</v>
      </c>
    </row>
    <row r="973" spans="1:5" ht="15">
      <c r="A973" s="13">
        <v>70767</v>
      </c>
      <c r="B973" s="4">
        <f>72.3036 * CHOOSE(CONTROL!$C$9, $C$13, 100%, $E$13) + CHOOSE(CONTROL!$C$28, 0.0272, 0)</f>
        <v>72.330799999999996</v>
      </c>
      <c r="C973" s="4">
        <f>71.9403 * CHOOSE(CONTROL!$C$9, $C$13, 100%, $E$13) + CHOOSE(CONTROL!$C$28, 0.0272, 0)</f>
        <v>71.967499999999987</v>
      </c>
      <c r="D973" s="4">
        <f>105.9905 * CHOOSE(CONTROL!$C$9, $C$13, 100%, $E$13) + CHOOSE(CONTROL!$C$28, 0.0021, 0)</f>
        <v>105.9926</v>
      </c>
      <c r="E973" s="4">
        <f>521.91038342014 * CHOOSE(CONTROL!$C$9, $C$13, 100%, $E$13) + CHOOSE(CONTROL!$C$28, 0.0021, 0)</f>
        <v>521.91248342014001</v>
      </c>
    </row>
    <row r="974" spans="1:5" ht="15">
      <c r="A974" s="13">
        <v>70798</v>
      </c>
      <c r="B974" s="4">
        <f>69.927 * CHOOSE(CONTROL!$C$9, $C$13, 100%, $E$13) + CHOOSE(CONTROL!$C$28, 0.0272, 0)</f>
        <v>69.9542</v>
      </c>
      <c r="C974" s="4">
        <f>69.5637 * CHOOSE(CONTROL!$C$9, $C$13, 100%, $E$13) + CHOOSE(CONTROL!$C$28, 0.0272, 0)</f>
        <v>69.590899999999991</v>
      </c>
      <c r="D974" s="4">
        <f>104.5556 * CHOOSE(CONTROL!$C$9, $C$13, 100%, $E$13) + CHOOSE(CONTROL!$C$28, 0.0021, 0)</f>
        <v>104.5577</v>
      </c>
      <c r="E974" s="4">
        <f>504.569671651704 * CHOOSE(CONTROL!$C$9, $C$13, 100%, $E$13) + CHOOSE(CONTROL!$C$28, 0.0021, 0)</f>
        <v>504.57177165170401</v>
      </c>
    </row>
    <row r="975" spans="1:5" ht="15">
      <c r="A975" s="13">
        <v>70828</v>
      </c>
      <c r="B975" s="4">
        <f>68.3963 * CHOOSE(CONTROL!$C$9, $C$13, 100%, $E$13) + CHOOSE(CONTROL!$C$28, 0.0272, 0)</f>
        <v>68.42349999999999</v>
      </c>
      <c r="C975" s="4">
        <f>68.033 * CHOOSE(CONTROL!$C$9, $C$13, 100%, $E$13) + CHOOSE(CONTROL!$C$28, 0.0272, 0)</f>
        <v>68.060199999999995</v>
      </c>
      <c r="D975" s="4">
        <f>104.0623 * CHOOSE(CONTROL!$C$9, $C$13, 100%, $E$13) + CHOOSE(CONTROL!$C$28, 0.0021, 0)</f>
        <v>104.06439999999999</v>
      </c>
      <c r="E975" s="4">
        <f>493.40095834955 * CHOOSE(CONTROL!$C$9, $C$13, 100%, $E$13) + CHOOSE(CONTROL!$C$28, 0.0021, 0)</f>
        <v>493.40305834955001</v>
      </c>
    </row>
    <row r="976" spans="1:5" ht="15">
      <c r="A976" s="13">
        <v>70859</v>
      </c>
      <c r="B976" s="4">
        <f>67.3372 * CHOOSE(CONTROL!$C$9, $C$13, 100%, $E$13) + CHOOSE(CONTROL!$C$28, 0.0272, 0)</f>
        <v>67.364399999999989</v>
      </c>
      <c r="C976" s="4">
        <f>66.9739 * CHOOSE(CONTROL!$C$9, $C$13, 100%, $E$13) + CHOOSE(CONTROL!$C$28, 0.0272, 0)</f>
        <v>67.001099999999994</v>
      </c>
      <c r="D976" s="4">
        <f>100.4304 * CHOOSE(CONTROL!$C$9, $C$13, 100%, $E$13) + CHOOSE(CONTROL!$C$28, 0.0021, 0)</f>
        <v>100.4325</v>
      </c>
      <c r="E976" s="4">
        <f>485.673644420271 * CHOOSE(CONTROL!$C$9, $C$13, 100%, $E$13) + CHOOSE(CONTROL!$C$28, 0.0021, 0)</f>
        <v>485.67574442027097</v>
      </c>
    </row>
    <row r="977" spans="1:5" ht="15">
      <c r="A977" s="13">
        <v>70890</v>
      </c>
      <c r="B977" s="4">
        <f>64.4396 * CHOOSE(CONTROL!$C$9, $C$13, 100%, $E$13) + CHOOSE(CONTROL!$C$28, 0.0272, 0)</f>
        <v>64.466799999999992</v>
      </c>
      <c r="C977" s="4">
        <f>64.0763 * CHOOSE(CONTROL!$C$9, $C$13, 100%, $E$13) + CHOOSE(CONTROL!$C$28, 0.0272, 0)</f>
        <v>64.103499999999997</v>
      </c>
      <c r="D977" s="4">
        <f>96.4295 * CHOOSE(CONTROL!$C$9, $C$13, 100%, $E$13) + CHOOSE(CONTROL!$C$28, 0.0021, 0)</f>
        <v>96.431600000000003</v>
      </c>
      <c r="E977" s="4">
        <f>465.443363638965 * CHOOSE(CONTROL!$C$9, $C$13, 100%, $E$13) + CHOOSE(CONTROL!$C$28, 0.0021, 0)</f>
        <v>465.44546363896501</v>
      </c>
    </row>
    <row r="978" spans="1:5" ht="15">
      <c r="A978" s="13">
        <v>70918</v>
      </c>
      <c r="B978" s="4">
        <f>65.9513 * CHOOSE(CONTROL!$C$9, $C$13, 100%, $E$13) + CHOOSE(CONTROL!$C$28, 0.0272, 0)</f>
        <v>65.978499999999997</v>
      </c>
      <c r="C978" s="4">
        <f>65.588 * CHOOSE(CONTROL!$C$9, $C$13, 100%, $E$13) + CHOOSE(CONTROL!$C$28, 0.0272, 0)</f>
        <v>65.615199999999987</v>
      </c>
      <c r="D978" s="4">
        <f>99.7676 * CHOOSE(CONTROL!$C$9, $C$13, 100%, $E$13) + CHOOSE(CONTROL!$C$28, 0.0021, 0)</f>
        <v>99.7697</v>
      </c>
      <c r="E978" s="4">
        <f>476.4948233619 * CHOOSE(CONTROL!$C$9, $C$13, 100%, $E$13) + CHOOSE(CONTROL!$C$28, 0.0021, 0)</f>
        <v>476.49692336189997</v>
      </c>
    </row>
    <row r="979" spans="1:5" ht="15">
      <c r="A979" s="13">
        <v>70949</v>
      </c>
      <c r="B979" s="4">
        <f>69.9211 * CHOOSE(CONTROL!$C$9, $C$13, 100%, $E$13) + CHOOSE(CONTROL!$C$28, 0.0272, 0)</f>
        <v>69.948299999999989</v>
      </c>
      <c r="C979" s="4">
        <f>69.5578 * CHOOSE(CONTROL!$C$9, $C$13, 100%, $E$13) + CHOOSE(CONTROL!$C$28, 0.0272, 0)</f>
        <v>69.584999999999994</v>
      </c>
      <c r="D979" s="4">
        <f>104.993 * CHOOSE(CONTROL!$C$9, $C$13, 100%, $E$13) + CHOOSE(CONTROL!$C$28, 0.0021, 0)</f>
        <v>104.99509999999999</v>
      </c>
      <c r="E979" s="4">
        <f>505.516543904564 * CHOOSE(CONTROL!$C$9, $C$13, 100%, $E$13) + CHOOSE(CONTROL!$C$28, 0.0021, 0)</f>
        <v>505.51864390456399</v>
      </c>
    </row>
    <row r="980" spans="1:5" ht="15">
      <c r="A980" s="13">
        <v>70979</v>
      </c>
      <c r="B980" s="4">
        <f>72.7416 * CHOOSE(CONTROL!$C$9, $C$13, 100%, $E$13) + CHOOSE(CONTROL!$C$28, 0.0272, 0)</f>
        <v>72.768799999999999</v>
      </c>
      <c r="C980" s="4">
        <f>72.3784 * CHOOSE(CONTROL!$C$9, $C$13, 100%, $E$13) + CHOOSE(CONTROL!$C$28, 0.0272, 0)</f>
        <v>72.405599999999993</v>
      </c>
      <c r="D980" s="4">
        <f>108.003 * CHOOSE(CONTROL!$C$9, $C$13, 100%, $E$13) + CHOOSE(CONTROL!$C$28, 0.0021, 0)</f>
        <v>108.0051</v>
      </c>
      <c r="E980" s="4">
        <f>526.136863115407 * CHOOSE(CONTROL!$C$9, $C$13, 100%, $E$13) + CHOOSE(CONTROL!$C$28, 0.0021, 0)</f>
        <v>526.13896311540702</v>
      </c>
    </row>
    <row r="981" spans="1:5" ht="15">
      <c r="A981" s="13">
        <v>71010</v>
      </c>
      <c r="B981" s="4">
        <f>74.4649 * CHOOSE(CONTROL!$C$9, $C$13, 100%, $E$13) + CHOOSE(CONTROL!$C$28, 0.0272, 0)</f>
        <v>74.492099999999994</v>
      </c>
      <c r="C981" s="4">
        <f>74.1017 * CHOOSE(CONTROL!$C$9, $C$13, 100%, $E$13) + CHOOSE(CONTROL!$C$28, 0.0272, 0)</f>
        <v>74.128899999999987</v>
      </c>
      <c r="D981" s="4">
        <f>106.8136 * CHOOSE(CONTROL!$C$9, $C$13, 100%, $E$13) + CHOOSE(CONTROL!$C$28, 0.0021, 0)</f>
        <v>106.81569999999999</v>
      </c>
      <c r="E981" s="4">
        <f>538.735383953153 * CHOOSE(CONTROL!$C$9, $C$13, 100%, $E$13) + CHOOSE(CONTROL!$C$28, 0.0021, 0)</f>
        <v>538.73748395315306</v>
      </c>
    </row>
    <row r="982" spans="1:5" ht="15">
      <c r="A982" s="13">
        <v>71040</v>
      </c>
      <c r="B982" s="4">
        <f>74.6981 * CHOOSE(CONTROL!$C$9, $C$13, 100%, $E$13) + CHOOSE(CONTROL!$C$28, 0.0272, 0)</f>
        <v>74.72529999999999</v>
      </c>
      <c r="C982" s="4">
        <f>74.3348 * CHOOSE(CONTROL!$C$9, $C$13, 100%, $E$13) + CHOOSE(CONTROL!$C$28, 0.0272, 0)</f>
        <v>74.361999999999995</v>
      </c>
      <c r="D982" s="4">
        <f>107.7823 * CHOOSE(CONTROL!$C$9, $C$13, 100%, $E$13) + CHOOSE(CONTROL!$C$28, 0.0021, 0)</f>
        <v>107.78440000000001</v>
      </c>
      <c r="E982" s="4">
        <f>540.440016107436 * CHOOSE(CONTROL!$C$9, $C$13, 100%, $E$13) + CHOOSE(CONTROL!$C$28, 0.0021, 0)</f>
        <v>540.44211610743605</v>
      </c>
    </row>
    <row r="983" spans="1:5" ht="15">
      <c r="A983" s="13">
        <v>71071</v>
      </c>
      <c r="B983" s="4">
        <f>74.6746 * CHOOSE(CONTROL!$C$9, $C$13, 100%, $E$13) + CHOOSE(CONTROL!$C$28, 0.0272, 0)</f>
        <v>74.701799999999992</v>
      </c>
      <c r="C983" s="4">
        <f>74.3113 * CHOOSE(CONTROL!$C$9, $C$13, 100%, $E$13) + CHOOSE(CONTROL!$C$28, 0.0272, 0)</f>
        <v>74.338499999999996</v>
      </c>
      <c r="D983" s="4">
        <f>109.5301 * CHOOSE(CONTROL!$C$9, $C$13, 100%, $E$13) + CHOOSE(CONTROL!$C$28, 0.0021, 0)</f>
        <v>109.5322</v>
      </c>
      <c r="E983" s="4">
        <f>540.268120428012 * CHOOSE(CONTROL!$C$9, $C$13, 100%, $E$13) + CHOOSE(CONTROL!$C$28, 0.0021, 0)</f>
        <v>540.27022042801207</v>
      </c>
    </row>
    <row r="984" spans="1:5" ht="15">
      <c r="A984" s="13">
        <v>71102</v>
      </c>
      <c r="B984" s="4">
        <f>76.4439 * CHOOSE(CONTROL!$C$9, $C$13, 100%, $E$13) + CHOOSE(CONTROL!$C$28, 0.0272, 0)</f>
        <v>76.471099999999993</v>
      </c>
      <c r="C984" s="4">
        <f>76.0807 * CHOOSE(CONTROL!$C$9, $C$13, 100%, $E$13) + CHOOSE(CONTROL!$C$28, 0.0272, 0)</f>
        <v>76.107899999999987</v>
      </c>
      <c r="D984" s="4">
        <f>108.3758 * CHOOSE(CONTROL!$C$9, $C$13, 100%, $E$13) + CHOOSE(CONTROL!$C$28, 0.0021, 0)</f>
        <v>108.3779</v>
      </c>
      <c r="E984" s="4">
        <f>553.20327030463 * CHOOSE(CONTROL!$C$9, $C$13, 100%, $E$13) + CHOOSE(CONTROL!$C$28, 0.0021, 0)</f>
        <v>553.20537030463004</v>
      </c>
    </row>
    <row r="985" spans="1:5" ht="15">
      <c r="A985" s="13">
        <v>71132</v>
      </c>
      <c r="B985" s="4">
        <f>73.4284 * CHOOSE(CONTROL!$C$9, $C$13, 100%, $E$13) + CHOOSE(CONTROL!$C$28, 0.0272, 0)</f>
        <v>73.45559999999999</v>
      </c>
      <c r="C985" s="4">
        <f>73.0651 * CHOOSE(CONTROL!$C$9, $C$13, 100%, $E$13) + CHOOSE(CONTROL!$C$28, 0.0272, 0)</f>
        <v>73.092299999999994</v>
      </c>
      <c r="D985" s="4">
        <f>107.8304 * CHOOSE(CONTROL!$C$9, $C$13, 100%, $E$13) + CHOOSE(CONTROL!$C$28, 0.0021, 0)</f>
        <v>107.8325</v>
      </c>
      <c r="E985" s="4">
        <f>531.157649418568 * CHOOSE(CONTROL!$C$9, $C$13, 100%, $E$13) + CHOOSE(CONTROL!$C$28, 0.0021, 0)</f>
        <v>531.15974941856803</v>
      </c>
    </row>
    <row r="986" spans="1:5" ht="15">
      <c r="A986" s="13">
        <v>71163</v>
      </c>
      <c r="B986" s="4">
        <f>71.0144 * CHOOSE(CONTROL!$C$9, $C$13, 100%, $E$13) + CHOOSE(CONTROL!$C$28, 0.0272, 0)</f>
        <v>71.041599999999988</v>
      </c>
      <c r="C986" s="4">
        <f>70.6511 * CHOOSE(CONTROL!$C$9, $C$13, 100%, $E$13) + CHOOSE(CONTROL!$C$28, 0.0272, 0)</f>
        <v>70.678299999999993</v>
      </c>
      <c r="D986" s="4">
        <f>106.3702 * CHOOSE(CONTROL!$C$9, $C$13, 100%, $E$13) + CHOOSE(CONTROL!$C$28, 0.0021, 0)</f>
        <v>106.3723</v>
      </c>
      <c r="E986" s="4">
        <f>513.509692997756 * CHOOSE(CONTROL!$C$9, $C$13, 100%, $E$13) + CHOOSE(CONTROL!$C$28, 0.0021, 0)</f>
        <v>513.51179299775606</v>
      </c>
    </row>
    <row r="987" spans="1:5" ht="15">
      <c r="A987" s="13">
        <v>71193</v>
      </c>
      <c r="B987" s="4">
        <f>69.4596 * CHOOSE(CONTROL!$C$9, $C$13, 100%, $E$13) + CHOOSE(CONTROL!$C$28, 0.0272, 0)</f>
        <v>69.486799999999988</v>
      </c>
      <c r="C987" s="4">
        <f>69.0963 * CHOOSE(CONTROL!$C$9, $C$13, 100%, $E$13) + CHOOSE(CONTROL!$C$28, 0.0272, 0)</f>
        <v>69.123499999999993</v>
      </c>
      <c r="D987" s="4">
        <f>105.8681 * CHOOSE(CONTROL!$C$9, $C$13, 100%, $E$13) + CHOOSE(CONTROL!$C$28, 0.0021, 0)</f>
        <v>105.8702</v>
      </c>
      <c r="E987" s="4">
        <f>502.143091195879 * CHOOSE(CONTROL!$C$9, $C$13, 100%, $E$13) + CHOOSE(CONTROL!$C$28, 0.0021, 0)</f>
        <v>502.14519119587897</v>
      </c>
    </row>
    <row r="988" spans="1:5" ht="15">
      <c r="A988" s="13">
        <v>71224</v>
      </c>
      <c r="B988" s="4">
        <f>68.3839 * CHOOSE(CONTROL!$C$9, $C$13, 100%, $E$13) + CHOOSE(CONTROL!$C$28, 0.0272, 0)</f>
        <v>68.41109999999999</v>
      </c>
      <c r="C988" s="4">
        <f>68.0206 * CHOOSE(CONTROL!$C$9, $C$13, 100%, $E$13) + CHOOSE(CONTROL!$C$28, 0.0272, 0)</f>
        <v>68.047799999999995</v>
      </c>
      <c r="D988" s="4">
        <f>102.1721 * CHOOSE(CONTROL!$C$9, $C$13, 100%, $E$13) + CHOOSE(CONTROL!$C$28, 0.0021, 0)</f>
        <v>102.1742</v>
      </c>
      <c r="E988" s="4">
        <f>494.278863862254 * CHOOSE(CONTROL!$C$9, $C$13, 100%, $E$13) + CHOOSE(CONTROL!$C$28, 0.0021, 0)</f>
        <v>494.280963862254</v>
      </c>
    </row>
    <row r="989" spans="1:5" ht="15">
      <c r="A989" s="13">
        <v>71255</v>
      </c>
      <c r="B989" s="4">
        <f>65.4408 * CHOOSE(CONTROL!$C$9, $C$13, 100%, $E$13) + CHOOSE(CONTROL!$C$28, 0.0272, 0)</f>
        <v>65.467999999999989</v>
      </c>
      <c r="C989" s="4">
        <f>65.0775 * CHOOSE(CONTROL!$C$9, $C$13, 100%, $E$13) + CHOOSE(CONTROL!$C$28, 0.0272, 0)</f>
        <v>65.104699999999994</v>
      </c>
      <c r="D989" s="4">
        <f>98.1006 * CHOOSE(CONTROL!$C$9, $C$13, 100%, $E$13) + CHOOSE(CONTROL!$C$28, 0.0021, 0)</f>
        <v>98.102699999999999</v>
      </c>
      <c r="E989" s="4">
        <f>473.690140724653 * CHOOSE(CONTROL!$C$9, $C$13, 100%, $E$13) + CHOOSE(CONTROL!$C$28, 0.0021, 0)</f>
        <v>473.692240724653</v>
      </c>
    </row>
    <row r="990" spans="1:5" ht="15">
      <c r="A990" s="13">
        <v>71283</v>
      </c>
      <c r="B990" s="4">
        <f>66.9762 * CHOOSE(CONTROL!$C$9, $C$13, 100%, $E$13) + CHOOSE(CONTROL!$C$28, 0.0272, 0)</f>
        <v>67.003399999999999</v>
      </c>
      <c r="C990" s="4">
        <f>66.6129 * CHOOSE(CONTROL!$C$9, $C$13, 100%, $E$13) + CHOOSE(CONTROL!$C$28, 0.0272, 0)</f>
        <v>66.64009999999999</v>
      </c>
      <c r="D990" s="4">
        <f>101.4976 * CHOOSE(CONTROL!$C$9, $C$13, 100%, $E$13) + CHOOSE(CONTROL!$C$28, 0.0021, 0)</f>
        <v>101.4997</v>
      </c>
      <c r="E990" s="4">
        <f>484.937411435404 * CHOOSE(CONTROL!$C$9, $C$13, 100%, $E$13) + CHOOSE(CONTROL!$C$28, 0.0021, 0)</f>
        <v>484.93951143540397</v>
      </c>
    </row>
    <row r="991" spans="1:5" ht="15">
      <c r="A991" s="13">
        <v>71314</v>
      </c>
      <c r="B991" s="4">
        <f>71.0084 * CHOOSE(CONTROL!$C$9, $C$13, 100%, $E$13) + CHOOSE(CONTROL!$C$28, 0.0272, 0)</f>
        <v>71.035599999999988</v>
      </c>
      <c r="C991" s="4">
        <f>70.6451 * CHOOSE(CONTROL!$C$9, $C$13, 100%, $E$13) + CHOOSE(CONTROL!$C$28, 0.0272, 0)</f>
        <v>70.672299999999993</v>
      </c>
      <c r="D991" s="4">
        <f>106.8153 * CHOOSE(CONTROL!$C$9, $C$13, 100%, $E$13) + CHOOSE(CONTROL!$C$28, 0.0021, 0)</f>
        <v>106.81739999999999</v>
      </c>
      <c r="E991" s="4">
        <f>514.473342038102 * CHOOSE(CONTROL!$C$9, $C$13, 100%, $E$13) + CHOOSE(CONTROL!$C$28, 0.0021, 0)</f>
        <v>514.47544203810207</v>
      </c>
    </row>
    <row r="992" spans="1:5" ht="15">
      <c r="A992" s="13">
        <v>71344</v>
      </c>
      <c r="B992" s="4">
        <f>73.8733 * CHOOSE(CONTROL!$C$9, $C$13, 100%, $E$13) + CHOOSE(CONTROL!$C$28, 0.0272, 0)</f>
        <v>73.900499999999994</v>
      </c>
      <c r="C992" s="4">
        <f>73.5101 * CHOOSE(CONTROL!$C$9, $C$13, 100%, $E$13) + CHOOSE(CONTROL!$C$28, 0.0272, 0)</f>
        <v>73.537299999999988</v>
      </c>
      <c r="D992" s="4">
        <f>109.8785 * CHOOSE(CONTROL!$C$9, $C$13, 100%, $E$13) + CHOOSE(CONTROL!$C$28, 0.0021, 0)</f>
        <v>109.8806</v>
      </c>
      <c r="E992" s="4">
        <f>535.459014349347 * CHOOSE(CONTROL!$C$9, $C$13, 100%, $E$13) + CHOOSE(CONTROL!$C$28, 0.0021, 0)</f>
        <v>535.46111434934699</v>
      </c>
    </row>
    <row r="993" spans="1:5" ht="15">
      <c r="A993" s="13">
        <v>71375</v>
      </c>
      <c r="B993" s="4">
        <f>75.6237 * CHOOSE(CONTROL!$C$9, $C$13, 100%, $E$13) + CHOOSE(CONTROL!$C$28, 0.0272, 0)</f>
        <v>75.650899999999993</v>
      </c>
      <c r="C993" s="4">
        <f>75.2605 * CHOOSE(CONTROL!$C$9, $C$13, 100%, $E$13) + CHOOSE(CONTROL!$C$28, 0.0272, 0)</f>
        <v>75.287699999999987</v>
      </c>
      <c r="D993" s="4">
        <f>108.6681 * CHOOSE(CONTROL!$C$9, $C$13, 100%, $E$13) + CHOOSE(CONTROL!$C$28, 0.0021, 0)</f>
        <v>108.67019999999999</v>
      </c>
      <c r="E993" s="4">
        <f>548.280757175148 * CHOOSE(CONTROL!$C$9, $C$13, 100%, $E$13) + CHOOSE(CONTROL!$C$28, 0.0021, 0)</f>
        <v>548.28285717514802</v>
      </c>
    </row>
    <row r="994" spans="1:5" ht="15">
      <c r="A994" s="13">
        <v>71405</v>
      </c>
      <c r="B994" s="4">
        <f>75.8606 * CHOOSE(CONTROL!$C$9, $C$13, 100%, $E$13) + CHOOSE(CONTROL!$C$28, 0.0272, 0)</f>
        <v>75.887799999999999</v>
      </c>
      <c r="C994" s="4">
        <f>75.4973 * CHOOSE(CONTROL!$C$9, $C$13, 100%, $E$13) + CHOOSE(CONTROL!$C$28, 0.0272, 0)</f>
        <v>75.524499999999989</v>
      </c>
      <c r="D994" s="4">
        <f>109.6539 * CHOOSE(CONTROL!$C$9, $C$13, 100%, $E$13) + CHOOSE(CONTROL!$C$28, 0.0021, 0)</f>
        <v>109.65599999999999</v>
      </c>
      <c r="E994" s="4">
        <f>550.015592190805 * CHOOSE(CONTROL!$C$9, $C$13, 100%, $E$13) + CHOOSE(CONTROL!$C$28, 0.0021, 0)</f>
        <v>550.01769219080506</v>
      </c>
    </row>
    <row r="995" spans="1:5" ht="15">
      <c r="A995" s="13">
        <v>71436</v>
      </c>
      <c r="B995" s="4">
        <f>75.8367 * CHOOSE(CONTROL!$C$9, $C$13, 100%, $E$13) + CHOOSE(CONTROL!$C$28, 0.0272, 0)</f>
        <v>75.863899999999987</v>
      </c>
      <c r="C995" s="4">
        <f>75.4734 * CHOOSE(CONTROL!$C$9, $C$13, 100%, $E$13) + CHOOSE(CONTROL!$C$28, 0.0272, 0)</f>
        <v>75.500599999999991</v>
      </c>
      <c r="D995" s="4">
        <f>111.4326 * CHOOSE(CONTROL!$C$9, $C$13, 100%, $E$13) + CHOOSE(CONTROL!$C$28, 0.0021, 0)</f>
        <v>111.43469999999999</v>
      </c>
      <c r="E995" s="4">
        <f>549.840650844688 * CHOOSE(CONTROL!$C$9, $C$13, 100%, $E$13) + CHOOSE(CONTROL!$C$28, 0.0021, 0)</f>
        <v>549.842750844688</v>
      </c>
    </row>
    <row r="996" spans="1:5" ht="15">
      <c r="A996" s="13">
        <v>71467</v>
      </c>
      <c r="B996" s="4">
        <f>77.6339 * CHOOSE(CONTROL!$C$9, $C$13, 100%, $E$13) + CHOOSE(CONTROL!$C$28, 0.0272, 0)</f>
        <v>77.66109999999999</v>
      </c>
      <c r="C996" s="4">
        <f>77.2706 * CHOOSE(CONTROL!$C$9, $C$13, 100%, $E$13) + CHOOSE(CONTROL!$C$28, 0.0272, 0)</f>
        <v>77.297799999999995</v>
      </c>
      <c r="D996" s="4">
        <f>110.2579 * CHOOSE(CONTROL!$C$9, $C$13, 100%, $E$13) + CHOOSE(CONTROL!$C$28, 0.0021, 0)</f>
        <v>110.26</v>
      </c>
      <c r="E996" s="4">
        <f>563.004987139968 * CHOOSE(CONTROL!$C$9, $C$13, 100%, $E$13) + CHOOSE(CONTROL!$C$28, 0.0021, 0)</f>
        <v>563.00708713996801</v>
      </c>
    </row>
    <row r="997" spans="1:5" ht="15">
      <c r="A997" s="13">
        <v>71497</v>
      </c>
      <c r="B997" s="4">
        <f>74.5709 * CHOOSE(CONTROL!$C$9, $C$13, 100%, $E$13) + CHOOSE(CONTROL!$C$28, 0.0272, 0)</f>
        <v>74.598099999999988</v>
      </c>
      <c r="C997" s="4">
        <f>74.2076 * CHOOSE(CONTROL!$C$9, $C$13, 100%, $E$13) + CHOOSE(CONTROL!$C$28, 0.0272, 0)</f>
        <v>74.234799999999993</v>
      </c>
      <c r="D997" s="4">
        <f>109.7029 * CHOOSE(CONTROL!$C$9, $C$13, 100%, $E$13) + CHOOSE(CONTROL!$C$28, 0.0021, 0)</f>
        <v>109.705</v>
      </c>
      <c r="E997" s="4">
        <f>540.568759500505 * CHOOSE(CONTROL!$C$9, $C$13, 100%, $E$13) + CHOOSE(CONTROL!$C$28, 0.0021, 0)</f>
        <v>540.57085950050509</v>
      </c>
    </row>
    <row r="998" spans="1:5" ht="15">
      <c r="A998" s="13">
        <v>71528</v>
      </c>
      <c r="B998" s="4">
        <f>72.119 * CHOOSE(CONTROL!$C$9, $C$13, 100%, $E$13) + CHOOSE(CONTROL!$C$28, 0.0272, 0)</f>
        <v>72.146199999999993</v>
      </c>
      <c r="C998" s="4">
        <f>71.7557 * CHOOSE(CONTROL!$C$9, $C$13, 100%, $E$13) + CHOOSE(CONTROL!$C$28, 0.0272, 0)</f>
        <v>71.782899999999998</v>
      </c>
      <c r="D998" s="4">
        <f>108.2168 * CHOOSE(CONTROL!$C$9, $C$13, 100%, $E$13) + CHOOSE(CONTROL!$C$28, 0.0021, 0)</f>
        <v>108.2189</v>
      </c>
      <c r="E998" s="4">
        <f>522.608114632527 * CHOOSE(CONTROL!$C$9, $C$13, 100%, $E$13) + CHOOSE(CONTROL!$C$28, 0.0021, 0)</f>
        <v>522.610214632527</v>
      </c>
    </row>
    <row r="999" spans="1:5" ht="15">
      <c r="A999" s="13">
        <v>71558</v>
      </c>
      <c r="B999" s="4">
        <f>70.5397 * CHOOSE(CONTROL!$C$9, $C$13, 100%, $E$13) + CHOOSE(CONTROL!$C$28, 0.0272, 0)</f>
        <v>70.56689999999999</v>
      </c>
      <c r="C999" s="4">
        <f>70.1764 * CHOOSE(CONTROL!$C$9, $C$13, 100%, $E$13) + CHOOSE(CONTROL!$C$28, 0.0272, 0)</f>
        <v>70.203599999999994</v>
      </c>
      <c r="D999" s="4">
        <f>107.7059 * CHOOSE(CONTROL!$C$9, $C$13, 100%, $E$13) + CHOOSE(CONTROL!$C$28, 0.0021, 0)</f>
        <v>107.708</v>
      </c>
      <c r="E999" s="4">
        <f>511.040118120562 * CHOOSE(CONTROL!$C$9, $C$13, 100%, $E$13) + CHOOSE(CONTROL!$C$28, 0.0021, 0)</f>
        <v>511.04221812056198</v>
      </c>
    </row>
    <row r="1000" spans="1:5" ht="15">
      <c r="A1000" s="13">
        <v>71589</v>
      </c>
      <c r="B1000" s="4">
        <f>69.4471 * CHOOSE(CONTROL!$C$9, $C$13, 100%, $E$13) + CHOOSE(CONTROL!$C$28, 0.0272, 0)</f>
        <v>69.474299999999999</v>
      </c>
      <c r="C1000" s="4">
        <f>69.0838 * CHOOSE(CONTROL!$C$9, $C$13, 100%, $E$13) + CHOOSE(CONTROL!$C$28, 0.0272, 0)</f>
        <v>69.11099999999999</v>
      </c>
      <c r="D1000" s="4">
        <f>103.9446 * CHOOSE(CONTROL!$C$9, $C$13, 100%, $E$13) + CHOOSE(CONTROL!$C$28, 0.0021, 0)</f>
        <v>103.94669999999999</v>
      </c>
      <c r="E1000" s="4">
        <f>503.036551535725 * CHOOSE(CONTROL!$C$9, $C$13, 100%, $E$13) + CHOOSE(CONTROL!$C$28, 0.0021, 0)</f>
        <v>503.03865153572497</v>
      </c>
    </row>
    <row r="1001" spans="1:5" ht="15">
      <c r="A1001" s="13">
        <v>71620</v>
      </c>
      <c r="B1001" s="4">
        <f>66.4576 * CHOOSE(CONTROL!$C$9, $C$13, 100%, $E$13) + CHOOSE(CONTROL!$C$28, 0.0272, 0)</f>
        <v>66.484799999999993</v>
      </c>
      <c r="C1001" s="4">
        <f>66.0944 * CHOOSE(CONTROL!$C$9, $C$13, 100%, $E$13) + CHOOSE(CONTROL!$C$28, 0.0272, 0)</f>
        <v>66.121599999999987</v>
      </c>
      <c r="D1001" s="4">
        <f>99.8011 * CHOOSE(CONTROL!$C$9, $C$13, 100%, $E$13) + CHOOSE(CONTROL!$C$28, 0.0021, 0)</f>
        <v>99.803200000000004</v>
      </c>
      <c r="E1001" s="4">
        <f>482.083035120447 * CHOOSE(CONTROL!$C$9, $C$13, 100%, $E$13) + CHOOSE(CONTROL!$C$28, 0.0021, 0)</f>
        <v>482.08513512044698</v>
      </c>
    </row>
    <row r="1002" spans="1:5" ht="15">
      <c r="A1002" s="13">
        <v>71649</v>
      </c>
      <c r="B1002" s="4">
        <f>68.0172 * CHOOSE(CONTROL!$C$9, $C$13, 100%, $E$13) + CHOOSE(CONTROL!$C$28, 0.0272, 0)</f>
        <v>68.044399999999996</v>
      </c>
      <c r="C1002" s="4">
        <f>67.654 * CHOOSE(CONTROL!$C$9, $C$13, 100%, $E$13) + CHOOSE(CONTROL!$C$28, 0.0272, 0)</f>
        <v>67.68119999999999</v>
      </c>
      <c r="D1002" s="4">
        <f>103.2581 * CHOOSE(CONTROL!$C$9, $C$13, 100%, $E$13) + CHOOSE(CONTROL!$C$28, 0.0021, 0)</f>
        <v>103.2602</v>
      </c>
      <c r="E1002" s="4">
        <f>493.529586219791 * CHOOSE(CONTROL!$C$9, $C$13, 100%, $E$13) + CHOOSE(CONTROL!$C$28, 0.0021, 0)</f>
        <v>493.53168621979097</v>
      </c>
    </row>
    <row r="1003" spans="1:5" ht="15">
      <c r="A1003" s="13">
        <v>71680</v>
      </c>
      <c r="B1003" s="4">
        <f>72.1128 * CHOOSE(CONTROL!$C$9, $C$13, 100%, $E$13) + CHOOSE(CONTROL!$C$28, 0.0272, 0)</f>
        <v>72.139999999999986</v>
      </c>
      <c r="C1003" s="4">
        <f>71.7496 * CHOOSE(CONTROL!$C$9, $C$13, 100%, $E$13) + CHOOSE(CONTROL!$C$28, 0.0272, 0)</f>
        <v>71.776799999999994</v>
      </c>
      <c r="D1003" s="4">
        <f>108.6698 * CHOOSE(CONTROL!$C$9, $C$13, 100%, $E$13) + CHOOSE(CONTROL!$C$28, 0.0021, 0)</f>
        <v>108.67189999999999</v>
      </c>
      <c r="E1003" s="4">
        <f>523.588837713336 * CHOOSE(CONTROL!$C$9, $C$13, 100%, $E$13) + CHOOSE(CONTROL!$C$28, 0.0021, 0)</f>
        <v>523.59093771333607</v>
      </c>
    </row>
    <row r="1004" spans="1:5" ht="15">
      <c r="A1004" s="13">
        <v>71710</v>
      </c>
      <c r="B1004" s="4">
        <f>75.0228 * CHOOSE(CONTROL!$C$9, $C$13, 100%, $E$13) + CHOOSE(CONTROL!$C$28, 0.0272, 0)</f>
        <v>75.05</v>
      </c>
      <c r="C1004" s="4">
        <f>74.6595 * CHOOSE(CONTROL!$C$9, $C$13, 100%, $E$13) + CHOOSE(CONTROL!$C$28, 0.0272, 0)</f>
        <v>74.686699999999988</v>
      </c>
      <c r="D1004" s="4">
        <f>111.7871 * CHOOSE(CONTROL!$C$9, $C$13, 100%, $E$13) + CHOOSE(CONTROL!$C$28, 0.0021, 0)</f>
        <v>111.78919999999999</v>
      </c>
      <c r="E1004" s="4">
        <f>544.946336491697 * CHOOSE(CONTROL!$C$9, $C$13, 100%, $E$13) + CHOOSE(CONTROL!$C$28, 0.0021, 0)</f>
        <v>544.94843649169707</v>
      </c>
    </row>
    <row r="1005" spans="1:5" ht="15">
      <c r="A1005" s="13">
        <v>71741</v>
      </c>
      <c r="B1005" s="4">
        <f>76.8007 * CHOOSE(CONTROL!$C$9, $C$13, 100%, $E$13) + CHOOSE(CONTROL!$C$28, 0.0272, 0)</f>
        <v>76.8279</v>
      </c>
      <c r="C1005" s="4">
        <f>76.4375 * CHOOSE(CONTROL!$C$9, $C$13, 100%, $E$13) + CHOOSE(CONTROL!$C$28, 0.0272, 0)</f>
        <v>76.464699999999993</v>
      </c>
      <c r="D1005" s="4">
        <f>110.5553 * CHOOSE(CONTROL!$C$9, $C$13, 100%, $E$13) + CHOOSE(CONTROL!$C$28, 0.0021, 0)</f>
        <v>110.5574</v>
      </c>
      <c r="E1005" s="4">
        <f>557.995256377469 * CHOOSE(CONTROL!$C$9, $C$13, 100%, $E$13) + CHOOSE(CONTROL!$C$28, 0.0021, 0)</f>
        <v>557.99735637746903</v>
      </c>
    </row>
    <row r="1006" spans="1:5" ht="15">
      <c r="A1006" s="13">
        <v>71771</v>
      </c>
      <c r="B1006" s="4">
        <f>77.0413 * CHOOSE(CONTROL!$C$9, $C$13, 100%, $E$13) + CHOOSE(CONTROL!$C$28, 0.0272, 0)</f>
        <v>77.0685</v>
      </c>
      <c r="C1006" s="4">
        <f>76.678 * CHOOSE(CONTROL!$C$9, $C$13, 100%, $E$13) + CHOOSE(CONTROL!$C$28, 0.0272, 0)</f>
        <v>76.705199999999991</v>
      </c>
      <c r="D1006" s="4">
        <f>111.5585 * CHOOSE(CONTROL!$C$9, $C$13, 100%, $E$13) + CHOOSE(CONTROL!$C$28, 0.0021, 0)</f>
        <v>111.56059999999999</v>
      </c>
      <c r="E1006" s="4">
        <f>559.760829392144 * CHOOSE(CONTROL!$C$9, $C$13, 100%, $E$13) + CHOOSE(CONTROL!$C$28, 0.0021, 0)</f>
        <v>559.76292939214409</v>
      </c>
    </row>
    <row r="1007" spans="1:5" ht="15">
      <c r="A1007" s="13">
        <v>71802</v>
      </c>
      <c r="B1007" s="4">
        <f>77.0171 * CHOOSE(CONTROL!$C$9, $C$13, 100%, $E$13) + CHOOSE(CONTROL!$C$28, 0.0272, 0)</f>
        <v>77.044299999999993</v>
      </c>
      <c r="C1007" s="4">
        <f>76.6538 * CHOOSE(CONTROL!$C$9, $C$13, 100%, $E$13) + CHOOSE(CONTROL!$C$28, 0.0272, 0)</f>
        <v>76.680999999999997</v>
      </c>
      <c r="D1007" s="4">
        <f>113.3687 * CHOOSE(CONTROL!$C$9, $C$13, 100%, $E$13) + CHOOSE(CONTROL!$C$28, 0.0021, 0)</f>
        <v>113.3708</v>
      </c>
      <c r="E1007" s="4">
        <f>559.582788415874 * CHOOSE(CONTROL!$C$9, $C$13, 100%, $E$13) + CHOOSE(CONTROL!$C$28, 0.0021, 0)</f>
        <v>559.58488841587405</v>
      </c>
    </row>
    <row r="1008" spans="1:5" ht="15">
      <c r="A1008" s="13">
        <v>71833</v>
      </c>
      <c r="B1008" s="4">
        <f>78.8425 * CHOOSE(CONTROL!$C$9, $C$13, 100%, $E$13) + CHOOSE(CONTROL!$C$28, 0.0272, 0)</f>
        <v>78.869699999999995</v>
      </c>
      <c r="C1008" s="4">
        <f>78.4792 * CHOOSE(CONTROL!$C$9, $C$13, 100%, $E$13) + CHOOSE(CONTROL!$C$28, 0.0272, 0)</f>
        <v>78.506399999999999</v>
      </c>
      <c r="D1008" s="4">
        <f>112.1733 * CHOOSE(CONTROL!$C$9, $C$13, 100%, $E$13) + CHOOSE(CONTROL!$C$28, 0.0021, 0)</f>
        <v>112.1754</v>
      </c>
      <c r="E1008" s="4">
        <f>572.980371880174 * CHOOSE(CONTROL!$C$9, $C$13, 100%, $E$13) + CHOOSE(CONTROL!$C$28, 0.0021, 0)</f>
        <v>572.98247188017399</v>
      </c>
    </row>
    <row r="1009" spans="1:5" ht="15">
      <c r="A1009" s="13">
        <v>71863</v>
      </c>
      <c r="B1009" s="4">
        <f>75.7314 * CHOOSE(CONTROL!$C$9, $C$13, 100%, $E$13) + CHOOSE(CONTROL!$C$28, 0.0272, 0)</f>
        <v>75.758599999999987</v>
      </c>
      <c r="C1009" s="4">
        <f>75.3681 * CHOOSE(CONTROL!$C$9, $C$13, 100%, $E$13) + CHOOSE(CONTROL!$C$28, 0.0272, 0)</f>
        <v>75.395299999999992</v>
      </c>
      <c r="D1009" s="4">
        <f>111.6085 * CHOOSE(CONTROL!$C$9, $C$13, 100%, $E$13) + CHOOSE(CONTROL!$C$28, 0.0021, 0)</f>
        <v>111.61060000000001</v>
      </c>
      <c r="E1009" s="4">
        <f>550.146616673577 * CHOOSE(CONTROL!$C$9, $C$13, 100%, $E$13) + CHOOSE(CONTROL!$C$28, 0.0021, 0)</f>
        <v>550.14871667357704</v>
      </c>
    </row>
    <row r="1010" spans="1:5" ht="15">
      <c r="A1010" s="13">
        <v>71894</v>
      </c>
      <c r="B1010" s="4">
        <f>73.2409 * CHOOSE(CONTROL!$C$9, $C$13, 100%, $E$13) + CHOOSE(CONTROL!$C$28, 0.0272, 0)</f>
        <v>73.26809999999999</v>
      </c>
      <c r="C1010" s="4">
        <f>72.8776 * CHOOSE(CONTROL!$C$9, $C$13, 100%, $E$13) + CHOOSE(CONTROL!$C$28, 0.0272, 0)</f>
        <v>72.904799999999994</v>
      </c>
      <c r="D1010" s="4">
        <f>110.0961 * CHOOSE(CONTROL!$C$9, $C$13, 100%, $E$13) + CHOOSE(CONTROL!$C$28, 0.0021, 0)</f>
        <v>110.09820000000001</v>
      </c>
      <c r="E1010" s="4">
        <f>531.86774310988 * CHOOSE(CONTROL!$C$9, $C$13, 100%, $E$13) + CHOOSE(CONTROL!$C$28, 0.0021, 0)</f>
        <v>531.86984310988009</v>
      </c>
    </row>
    <row r="1011" spans="1:5" ht="15">
      <c r="A1011" s="13">
        <v>71924</v>
      </c>
      <c r="B1011" s="4">
        <f>71.6368 * CHOOSE(CONTROL!$C$9, $C$13, 100%, $E$13) + CHOOSE(CONTROL!$C$28, 0.0272, 0)</f>
        <v>71.663999999999987</v>
      </c>
      <c r="C1011" s="4">
        <f>71.2735 * CHOOSE(CONTROL!$C$9, $C$13, 100%, $E$13) + CHOOSE(CONTROL!$C$28, 0.0272, 0)</f>
        <v>71.300699999999992</v>
      </c>
      <c r="D1011" s="4">
        <f>109.5762 * CHOOSE(CONTROL!$C$9, $C$13, 100%, $E$13) + CHOOSE(CONTROL!$C$28, 0.0021, 0)</f>
        <v>109.5783</v>
      </c>
      <c r="E1011" s="4">
        <f>520.094783554042 * CHOOSE(CONTROL!$C$9, $C$13, 100%, $E$13) + CHOOSE(CONTROL!$C$28, 0.0021, 0)</f>
        <v>520.09688355404205</v>
      </c>
    </row>
    <row r="1012" spans="1:5" ht="15">
      <c r="A1012" s="13">
        <v>71955</v>
      </c>
      <c r="B1012" s="4">
        <f>70.527 * CHOOSE(CONTROL!$C$9, $C$13, 100%, $E$13) + CHOOSE(CONTROL!$C$28, 0.0272, 0)</f>
        <v>70.554199999999994</v>
      </c>
      <c r="C1012" s="4">
        <f>70.1637 * CHOOSE(CONTROL!$C$9, $C$13, 100%, $E$13) + CHOOSE(CONTROL!$C$28, 0.0272, 0)</f>
        <v>70.190899999999999</v>
      </c>
      <c r="D1012" s="4">
        <f>105.7484 * CHOOSE(CONTROL!$C$9, $C$13, 100%, $E$13) + CHOOSE(CONTROL!$C$28, 0.0021, 0)</f>
        <v>105.7505</v>
      </c>
      <c r="E1012" s="4">
        <f>511.9494088897 * CHOOSE(CONTROL!$C$9, $C$13, 100%, $E$13) + CHOOSE(CONTROL!$C$28, 0.0021, 0)</f>
        <v>511.95150888969999</v>
      </c>
    </row>
    <row r="1013" spans="1:5" ht="15">
      <c r="A1013" s="13">
        <v>71986</v>
      </c>
      <c r="B1013" s="4">
        <f>67.4905 * CHOOSE(CONTROL!$C$9, $C$13, 100%, $E$13) + CHOOSE(CONTROL!$C$28, 0.0272, 0)</f>
        <v>67.517699999999991</v>
      </c>
      <c r="C1013" s="4">
        <f>67.1272 * CHOOSE(CONTROL!$C$9, $C$13, 100%, $E$13) + CHOOSE(CONTROL!$C$28, 0.0272, 0)</f>
        <v>67.154399999999995</v>
      </c>
      <c r="D1013" s="4">
        <f>101.5317 * CHOOSE(CONTROL!$C$9, $C$13, 100%, $E$13) + CHOOSE(CONTROL!$C$28, 0.0021, 0)</f>
        <v>101.5338</v>
      </c>
      <c r="E1013" s="4">
        <f>490.624635749035 * CHOOSE(CONTROL!$C$9, $C$13, 100%, $E$13) + CHOOSE(CONTROL!$C$28, 0.0021, 0)</f>
        <v>490.62673574903499</v>
      </c>
    </row>
    <row r="1014" spans="1:5" ht="15">
      <c r="A1014" s="13">
        <v>72014</v>
      </c>
      <c r="B1014" s="4">
        <f>69.0747 * CHOOSE(CONTROL!$C$9, $C$13, 100%, $E$13) + CHOOSE(CONTROL!$C$28, 0.0272, 0)</f>
        <v>69.101900000000001</v>
      </c>
      <c r="C1014" s="4">
        <f>68.7114 * CHOOSE(CONTROL!$C$9, $C$13, 100%, $E$13) + CHOOSE(CONTROL!$C$28, 0.0272, 0)</f>
        <v>68.738599999999991</v>
      </c>
      <c r="D1014" s="4">
        <f>105.0498 * CHOOSE(CONTROL!$C$9, $C$13, 100%, $E$13) + CHOOSE(CONTROL!$C$28, 0.0021, 0)</f>
        <v>105.0519</v>
      </c>
      <c r="E1014" s="4">
        <f>502.273998108976 * CHOOSE(CONTROL!$C$9, $C$13, 100%, $E$13) + CHOOSE(CONTROL!$C$28, 0.0021, 0)</f>
        <v>502.27609810897599</v>
      </c>
    </row>
    <row r="1015" spans="1:5" ht="15">
      <c r="A1015" s="13">
        <v>72045</v>
      </c>
      <c r="B1015" s="4">
        <f>73.2347 * CHOOSE(CONTROL!$C$9, $C$13, 100%, $E$13) + CHOOSE(CONTROL!$C$28, 0.0272, 0)</f>
        <v>73.261899999999997</v>
      </c>
      <c r="C1015" s="4">
        <f>72.8714 * CHOOSE(CONTROL!$C$9, $C$13, 100%, $E$13) + CHOOSE(CONTROL!$C$28, 0.0272, 0)</f>
        <v>72.898599999999988</v>
      </c>
      <c r="D1015" s="4">
        <f>110.5571 * CHOOSE(CONTROL!$C$9, $C$13, 100%, $E$13) + CHOOSE(CONTROL!$C$28, 0.0021, 0)</f>
        <v>110.5592</v>
      </c>
      <c r="E1015" s="4">
        <f>532.865842750895 * CHOOSE(CONTROL!$C$9, $C$13, 100%, $E$13) + CHOOSE(CONTROL!$C$28, 0.0021, 0)</f>
        <v>532.86794275089505</v>
      </c>
    </row>
    <row r="1016" spans="1:5" ht="15">
      <c r="A1016" s="13">
        <v>72075</v>
      </c>
      <c r="B1016" s="4">
        <f>76.1904 * CHOOSE(CONTROL!$C$9, $C$13, 100%, $E$13) + CHOOSE(CONTROL!$C$28, 0.0272, 0)</f>
        <v>76.21759999999999</v>
      </c>
      <c r="C1016" s="4">
        <f>75.8271 * CHOOSE(CONTROL!$C$9, $C$13, 100%, $E$13) + CHOOSE(CONTROL!$C$28, 0.0272, 0)</f>
        <v>75.854299999999995</v>
      </c>
      <c r="D1016" s="4">
        <f>113.7295 * CHOOSE(CONTROL!$C$9, $C$13, 100%, $E$13) + CHOOSE(CONTROL!$C$28, 0.0021, 0)</f>
        <v>113.7316</v>
      </c>
      <c r="E1016" s="4">
        <f>554.601756058912 * CHOOSE(CONTROL!$C$9, $C$13, 100%, $E$13) + CHOOSE(CONTROL!$C$28, 0.0021, 0)</f>
        <v>554.60385605891202</v>
      </c>
    </row>
    <row r="1017" spans="1:5" ht="15">
      <c r="A1017" s="13">
        <v>72106</v>
      </c>
      <c r="B1017" s="4">
        <f>77.9963 * CHOOSE(CONTROL!$C$9, $C$13, 100%, $E$13) + CHOOSE(CONTROL!$C$28, 0.0272, 0)</f>
        <v>78.023499999999999</v>
      </c>
      <c r="C1017" s="4">
        <f>77.633 * CHOOSE(CONTROL!$C$9, $C$13, 100%, $E$13) + CHOOSE(CONTROL!$C$28, 0.0272, 0)</f>
        <v>77.660199999999989</v>
      </c>
      <c r="D1017" s="4">
        <f>112.4759 * CHOOSE(CONTROL!$C$9, $C$13, 100%, $E$13) + CHOOSE(CONTROL!$C$28, 0.0021, 0)</f>
        <v>112.47799999999999</v>
      </c>
      <c r="E1017" s="4">
        <f>567.881878152972 * CHOOSE(CONTROL!$C$9, $C$13, 100%, $E$13) + CHOOSE(CONTROL!$C$28, 0.0021, 0)</f>
        <v>567.88397815297208</v>
      </c>
    </row>
    <row r="1018" spans="1:5" ht="15">
      <c r="A1018" s="13">
        <v>72136</v>
      </c>
      <c r="B1018" s="4">
        <f>78.2406 * CHOOSE(CONTROL!$C$9, $C$13, 100%, $E$13) + CHOOSE(CONTROL!$C$28, 0.0272, 0)</f>
        <v>78.267799999999994</v>
      </c>
      <c r="C1018" s="4">
        <f>77.8773 * CHOOSE(CONTROL!$C$9, $C$13, 100%, $E$13) + CHOOSE(CONTROL!$C$28, 0.0272, 0)</f>
        <v>77.904499999999999</v>
      </c>
      <c r="D1018" s="4">
        <f>113.4969 * CHOOSE(CONTROL!$C$9, $C$13, 100%, $E$13) + CHOOSE(CONTROL!$C$28, 0.0021, 0)</f>
        <v>113.499</v>
      </c>
      <c r="E1018" s="4">
        <f>569.678733785938 * CHOOSE(CONTROL!$C$9, $C$13, 100%, $E$13) + CHOOSE(CONTROL!$C$28, 0.0021, 0)</f>
        <v>569.68083378593803</v>
      </c>
    </row>
    <row r="1019" spans="1:5" ht="15">
      <c r="A1019" s="13">
        <v>72167</v>
      </c>
      <c r="B1019" s="4">
        <f>78.216 * CHOOSE(CONTROL!$C$9, $C$13, 100%, $E$13) + CHOOSE(CONTROL!$C$28, 0.0272, 0)</f>
        <v>78.243199999999987</v>
      </c>
      <c r="C1019" s="4">
        <f>77.8527 * CHOOSE(CONTROL!$C$9, $C$13, 100%, $E$13) + CHOOSE(CONTROL!$C$28, 0.0272, 0)</f>
        <v>77.879899999999992</v>
      </c>
      <c r="D1019" s="4">
        <f>115.339 * CHOOSE(CONTROL!$C$9, $C$13, 100%, $E$13) + CHOOSE(CONTROL!$C$28, 0.0021, 0)</f>
        <v>115.3411</v>
      </c>
      <c r="E1019" s="4">
        <f>569.497538259925 * CHOOSE(CONTROL!$C$9, $C$13, 100%, $E$13) + CHOOSE(CONTROL!$C$28, 0.0021, 0)</f>
        <v>569.49963825992506</v>
      </c>
    </row>
    <row r="1020" spans="1:5" ht="15">
      <c r="A1020" s="13">
        <v>72198</v>
      </c>
      <c r="B1020" s="4">
        <f>80.0701 * CHOOSE(CONTROL!$C$9, $C$13, 100%, $E$13) + CHOOSE(CONTROL!$C$28, 0.0272, 0)</f>
        <v>80.09729999999999</v>
      </c>
      <c r="C1020" s="4">
        <f>79.7068 * CHOOSE(CONTROL!$C$9, $C$13, 100%, $E$13) + CHOOSE(CONTROL!$C$28, 0.0272, 0)</f>
        <v>79.733999999999995</v>
      </c>
      <c r="D1020" s="4">
        <f>114.1225 * CHOOSE(CONTROL!$C$9, $C$13, 100%, $E$13) + CHOOSE(CONTROL!$C$28, 0.0021, 0)</f>
        <v>114.1246</v>
      </c>
      <c r="E1020" s="4">
        <f>583.132501592429 * CHOOSE(CONTROL!$C$9, $C$13, 100%, $E$13) + CHOOSE(CONTROL!$C$28, 0.0021, 0)</f>
        <v>583.13460159242902</v>
      </c>
    </row>
    <row r="1021" spans="1:5" ht="15">
      <c r="A1021" s="13">
        <v>72228</v>
      </c>
      <c r="B1021" s="4">
        <f>76.9101 * CHOOSE(CONTROL!$C$9, $C$13, 100%, $E$13) + CHOOSE(CONTROL!$C$28, 0.0272, 0)</f>
        <v>76.937299999999993</v>
      </c>
      <c r="C1021" s="4">
        <f>76.5468 * CHOOSE(CONTROL!$C$9, $C$13, 100%, $E$13) + CHOOSE(CONTROL!$C$28, 0.0272, 0)</f>
        <v>76.573999999999998</v>
      </c>
      <c r="D1021" s="4">
        <f>113.5477 * CHOOSE(CONTROL!$C$9, $C$13, 100%, $E$13) + CHOOSE(CONTROL!$C$28, 0.0021, 0)</f>
        <v>113.5498</v>
      </c>
      <c r="E1021" s="4">
        <f>559.894175381218 * CHOOSE(CONTROL!$C$9, $C$13, 100%, $E$13) + CHOOSE(CONTROL!$C$28, 0.0021, 0)</f>
        <v>559.89627538121806</v>
      </c>
    </row>
    <row r="1022" spans="1:5" ht="15">
      <c r="A1022" s="13">
        <v>72259</v>
      </c>
      <c r="B1022" s="4">
        <f>74.3804 * CHOOSE(CONTROL!$C$9, $C$13, 100%, $E$13) + CHOOSE(CONTROL!$C$28, 0.0272, 0)</f>
        <v>74.407599999999988</v>
      </c>
      <c r="C1022" s="4">
        <f>74.0171 * CHOOSE(CONTROL!$C$9, $C$13, 100%, $E$13) + CHOOSE(CONTROL!$C$28, 0.0272, 0)</f>
        <v>74.044299999999993</v>
      </c>
      <c r="D1022" s="4">
        <f>112.0086 * CHOOSE(CONTROL!$C$9, $C$13, 100%, $E$13) + CHOOSE(CONTROL!$C$28, 0.0021, 0)</f>
        <v>112.0107</v>
      </c>
      <c r="E1022" s="4">
        <f>541.291434710515 * CHOOSE(CONTROL!$C$9, $C$13, 100%, $E$13) + CHOOSE(CONTROL!$C$28, 0.0021, 0)</f>
        <v>541.29353471051502</v>
      </c>
    </row>
    <row r="1023" spans="1:5" ht="15">
      <c r="A1023" s="13">
        <v>72289</v>
      </c>
      <c r="B1023" s="4">
        <f>72.7511 * CHOOSE(CONTROL!$C$9, $C$13, 100%, $E$13) + CHOOSE(CONTROL!$C$28, 0.0272, 0)</f>
        <v>72.778299999999987</v>
      </c>
      <c r="C1023" s="4">
        <f>72.3878 * CHOOSE(CONTROL!$C$9, $C$13, 100%, $E$13) + CHOOSE(CONTROL!$C$28, 0.0272, 0)</f>
        <v>72.414999999999992</v>
      </c>
      <c r="D1023" s="4">
        <f>111.4795 * CHOOSE(CONTROL!$C$9, $C$13, 100%, $E$13) + CHOOSE(CONTROL!$C$28, 0.0021, 0)</f>
        <v>111.4816</v>
      </c>
      <c r="E1023" s="4">
        <f>529.309880552883 * CHOOSE(CONTROL!$C$9, $C$13, 100%, $E$13) + CHOOSE(CONTROL!$C$28, 0.0021, 0)</f>
        <v>529.31198055288303</v>
      </c>
    </row>
    <row r="1024" spans="1:5" ht="15">
      <c r="A1024" s="13">
        <v>72320</v>
      </c>
      <c r="B1024" s="4">
        <f>71.6238 * CHOOSE(CONTROL!$C$9, $C$13, 100%, $E$13) + CHOOSE(CONTROL!$C$28, 0.0272, 0)</f>
        <v>71.650999999999996</v>
      </c>
      <c r="C1024" s="4">
        <f>71.2606 * CHOOSE(CONTROL!$C$9, $C$13, 100%, $E$13) + CHOOSE(CONTROL!$C$28, 0.0272, 0)</f>
        <v>71.28779999999999</v>
      </c>
      <c r="D1024" s="4">
        <f>107.584 * CHOOSE(CONTROL!$C$9, $C$13, 100%, $E$13) + CHOOSE(CONTROL!$C$28, 0.0021, 0)</f>
        <v>107.5861</v>
      </c>
      <c r="E1024" s="4">
        <f>521.020185237773 * CHOOSE(CONTROL!$C$9, $C$13, 100%, $E$13) + CHOOSE(CONTROL!$C$28, 0.0021, 0)</f>
        <v>521.02228523777308</v>
      </c>
    </row>
    <row r="1025" spans="1:5" ht="15">
      <c r="A1025" s="13">
        <v>72351</v>
      </c>
      <c r="B1025" s="4">
        <f>68.5396 * CHOOSE(CONTROL!$C$9, $C$13, 100%, $E$13) + CHOOSE(CONTROL!$C$28, 0.0272, 0)</f>
        <v>68.566799999999986</v>
      </c>
      <c r="C1025" s="4">
        <f>68.1764 * CHOOSE(CONTROL!$C$9, $C$13, 100%, $E$13) + CHOOSE(CONTROL!$C$28, 0.0272, 0)</f>
        <v>68.203599999999994</v>
      </c>
      <c r="D1025" s="4">
        <f>103.2929 * CHOOSE(CONTROL!$C$9, $C$13, 100%, $E$13) + CHOOSE(CONTROL!$C$28, 0.0021, 0)</f>
        <v>103.295</v>
      </c>
      <c r="E1025" s="4">
        <f>499.317577403926 * CHOOSE(CONTROL!$C$9, $C$13, 100%, $E$13) + CHOOSE(CONTROL!$C$28, 0.0021, 0)</f>
        <v>499.31967740392599</v>
      </c>
    </row>
    <row r="1026" spans="1:5" ht="15">
      <c r="A1026" s="13">
        <v>72379</v>
      </c>
      <c r="B1026" s="4">
        <f>70.1487 * CHOOSE(CONTROL!$C$9, $C$13, 100%, $E$13) + CHOOSE(CONTROL!$C$28, 0.0272, 0)</f>
        <v>70.175899999999999</v>
      </c>
      <c r="C1026" s="4">
        <f>69.7854 * CHOOSE(CONTROL!$C$9, $C$13, 100%, $E$13) + CHOOSE(CONTROL!$C$28, 0.0272, 0)</f>
        <v>69.812599999999989</v>
      </c>
      <c r="D1026" s="4">
        <f>106.8731 * CHOOSE(CONTROL!$C$9, $C$13, 100%, $E$13) + CHOOSE(CONTROL!$C$28, 0.0021, 0)</f>
        <v>106.87519999999999</v>
      </c>
      <c r="E1026" s="4">
        <f>511.17334445685 * CHOOSE(CONTROL!$C$9, $C$13, 100%, $E$13) + CHOOSE(CONTROL!$C$28, 0.0021, 0)</f>
        <v>511.17544445684996</v>
      </c>
    </row>
    <row r="1027" spans="1:5" ht="15">
      <c r="A1027" s="13">
        <v>72410</v>
      </c>
      <c r="B1027" s="4">
        <f>74.3741 * CHOOSE(CONTROL!$C$9, $C$13, 100%, $E$13) + CHOOSE(CONTROL!$C$28, 0.0272, 0)</f>
        <v>74.401299999999992</v>
      </c>
      <c r="C1027" s="4">
        <f>74.0108 * CHOOSE(CONTROL!$C$9, $C$13, 100%, $E$13) + CHOOSE(CONTROL!$C$28, 0.0272, 0)</f>
        <v>74.037999999999997</v>
      </c>
      <c r="D1027" s="4">
        <f>112.4778 * CHOOSE(CONTROL!$C$9, $C$13, 100%, $E$13) + CHOOSE(CONTROL!$C$28, 0.0021, 0)</f>
        <v>112.4799</v>
      </c>
      <c r="E1027" s="4">
        <f>542.307218791553 * CHOOSE(CONTROL!$C$9, $C$13, 100%, $E$13) + CHOOSE(CONTROL!$C$28, 0.0021, 0)</f>
        <v>542.3093187915531</v>
      </c>
    </row>
    <row r="1028" spans="1:5" ht="15">
      <c r="A1028" s="13">
        <v>72440</v>
      </c>
      <c r="B1028" s="4">
        <f>77.3763 * CHOOSE(CONTROL!$C$9, $C$13, 100%, $E$13) + CHOOSE(CONTROL!$C$28, 0.0272, 0)</f>
        <v>77.403499999999994</v>
      </c>
      <c r="C1028" s="4">
        <f>77.013 * CHOOSE(CONTROL!$C$9, $C$13, 100%, $E$13) + CHOOSE(CONTROL!$C$28, 0.0272, 0)</f>
        <v>77.040199999999999</v>
      </c>
      <c r="D1028" s="4">
        <f>115.7062 * CHOOSE(CONTROL!$C$9, $C$13, 100%, $E$13) + CHOOSE(CONTROL!$C$28, 0.0021, 0)</f>
        <v>115.70829999999999</v>
      </c>
      <c r="E1028" s="4">
        <f>564.428251419789 * CHOOSE(CONTROL!$C$9, $C$13, 100%, $E$13) + CHOOSE(CONTROL!$C$28, 0.0021, 0)</f>
        <v>564.43035141978908</v>
      </c>
    </row>
    <row r="1029" spans="1:5" ht="15">
      <c r="A1029" s="13">
        <v>72471</v>
      </c>
      <c r="B1029" s="4">
        <f>79.2106 * CHOOSE(CONTROL!$C$9, $C$13, 100%, $E$13) + CHOOSE(CONTROL!$C$28, 0.0272, 0)</f>
        <v>79.237799999999993</v>
      </c>
      <c r="C1029" s="4">
        <f>78.8473 * CHOOSE(CONTROL!$C$9, $C$13, 100%, $E$13) + CHOOSE(CONTROL!$C$28, 0.0272, 0)</f>
        <v>78.874499999999998</v>
      </c>
      <c r="D1029" s="4">
        <f>114.4305 * CHOOSE(CONTROL!$C$9, $C$13, 100%, $E$13) + CHOOSE(CONTROL!$C$28, 0.0021, 0)</f>
        <v>114.43259999999999</v>
      </c>
      <c r="E1029" s="4">
        <f>577.943672188482 * CHOOSE(CONTROL!$C$9, $C$13, 100%, $E$13) + CHOOSE(CONTROL!$C$28, 0.0021, 0)</f>
        <v>577.94577218848201</v>
      </c>
    </row>
    <row r="1030" spans="1:5" ht="15">
      <c r="A1030" s="13">
        <v>72501</v>
      </c>
      <c r="B1030" s="4">
        <f>79.4588 * CHOOSE(CONTROL!$C$9, $C$13, 100%, $E$13) + CHOOSE(CONTROL!$C$28, 0.0272, 0)</f>
        <v>79.48599999999999</v>
      </c>
      <c r="C1030" s="4">
        <f>79.0955 * CHOOSE(CONTROL!$C$9, $C$13, 100%, $E$13) + CHOOSE(CONTROL!$C$28, 0.0272, 0)</f>
        <v>79.122699999999995</v>
      </c>
      <c r="D1030" s="4">
        <f>115.4695 * CHOOSE(CONTROL!$C$9, $C$13, 100%, $E$13) + CHOOSE(CONTROL!$C$28, 0.0021, 0)</f>
        <v>115.4716</v>
      </c>
      <c r="E1030" s="4">
        <f>579.772364708634 * CHOOSE(CONTROL!$C$9, $C$13, 100%, $E$13) + CHOOSE(CONTROL!$C$28, 0.0021, 0)</f>
        <v>579.77446470863401</v>
      </c>
    </row>
    <row r="1031" spans="1:5" ht="15">
      <c r="A1031" s="13">
        <v>72532</v>
      </c>
      <c r="B1031" s="4">
        <f>79.4338 * CHOOSE(CONTROL!$C$9, $C$13, 100%, $E$13) + CHOOSE(CONTROL!$C$28, 0.0272, 0)</f>
        <v>79.460999999999999</v>
      </c>
      <c r="C1031" s="4">
        <f>79.0705 * CHOOSE(CONTROL!$C$9, $C$13, 100%, $E$13) + CHOOSE(CONTROL!$C$28, 0.0272, 0)</f>
        <v>79.097699999999989</v>
      </c>
      <c r="D1031" s="4">
        <f>117.3442 * CHOOSE(CONTROL!$C$9, $C$13, 100%, $E$13) + CHOOSE(CONTROL!$C$28, 0.0021, 0)</f>
        <v>117.3463</v>
      </c>
      <c r="E1031" s="4">
        <f>579.587958740216 * CHOOSE(CONTROL!$C$9, $C$13, 100%, $E$13) + CHOOSE(CONTROL!$C$28, 0.0021, 0)</f>
        <v>579.59005874021602</v>
      </c>
    </row>
    <row r="1032" spans="1:5" ht="15">
      <c r="A1032" s="13">
        <v>72563</v>
      </c>
      <c r="B1032" s="4">
        <f>81.317 * CHOOSE(CONTROL!$C$9, $C$13, 100%, $E$13) + CHOOSE(CONTROL!$C$28, 0.0272, 0)</f>
        <v>81.344199999999987</v>
      </c>
      <c r="C1032" s="4">
        <f>80.9538 * CHOOSE(CONTROL!$C$9, $C$13, 100%, $E$13) + CHOOSE(CONTROL!$C$28, 0.0272, 0)</f>
        <v>80.980999999999995</v>
      </c>
      <c r="D1032" s="4">
        <f>116.1061 * CHOOSE(CONTROL!$C$9, $C$13, 100%, $E$13) + CHOOSE(CONTROL!$C$28, 0.0021, 0)</f>
        <v>116.1082</v>
      </c>
      <c r="E1032" s="4">
        <f>593.464507863729 * CHOOSE(CONTROL!$C$9, $C$13, 100%, $E$13) + CHOOSE(CONTROL!$C$28, 0.0021, 0)</f>
        <v>593.466607863729</v>
      </c>
    </row>
    <row r="1033" spans="1:5" ht="15">
      <c r="A1033" s="13">
        <v>72593</v>
      </c>
      <c r="B1033" s="4">
        <f>78.1073 * CHOOSE(CONTROL!$C$9, $C$13, 100%, $E$13) + CHOOSE(CONTROL!$C$28, 0.0272, 0)</f>
        <v>78.134499999999989</v>
      </c>
      <c r="C1033" s="4">
        <f>77.744 * CHOOSE(CONTROL!$C$9, $C$13, 100%, $E$13) + CHOOSE(CONTROL!$C$28, 0.0272, 0)</f>
        <v>77.771199999999993</v>
      </c>
      <c r="D1033" s="4">
        <f>115.5211 * CHOOSE(CONTROL!$C$9, $C$13, 100%, $E$13) + CHOOSE(CONTROL!$C$28, 0.0021, 0)</f>
        <v>115.5232</v>
      </c>
      <c r="E1033" s="4">
        <f>569.814442414021 * CHOOSE(CONTROL!$C$9, $C$13, 100%, $E$13) + CHOOSE(CONTROL!$C$28, 0.0021, 0)</f>
        <v>569.816542414021</v>
      </c>
    </row>
    <row r="1034" spans="1:5" ht="15">
      <c r="A1034" s="13">
        <v>72624</v>
      </c>
      <c r="B1034" s="4">
        <f>75.5379 * CHOOSE(CONTROL!$C$9, $C$13, 100%, $E$13) + CHOOSE(CONTROL!$C$28, 0.0272, 0)</f>
        <v>75.565099999999987</v>
      </c>
      <c r="C1034" s="4">
        <f>75.1746 * CHOOSE(CONTROL!$C$9, $C$13, 100%, $E$13) + CHOOSE(CONTROL!$C$28, 0.0272, 0)</f>
        <v>75.201799999999992</v>
      </c>
      <c r="D1034" s="4">
        <f>113.9549 * CHOOSE(CONTROL!$C$9, $C$13, 100%, $E$13) + CHOOSE(CONTROL!$C$28, 0.0021, 0)</f>
        <v>113.95699999999999</v>
      </c>
      <c r="E1034" s="4">
        <f>550.882096323026 * CHOOSE(CONTROL!$C$9, $C$13, 100%, $E$13) + CHOOSE(CONTROL!$C$28, 0.0021, 0)</f>
        <v>550.884196323026</v>
      </c>
    </row>
    <row r="1035" spans="1:5" ht="15">
      <c r="A1035" s="13">
        <v>72654</v>
      </c>
      <c r="B1035" s="4">
        <f>73.8829 * CHOOSE(CONTROL!$C$9, $C$13, 100%, $E$13) + CHOOSE(CONTROL!$C$28, 0.0272, 0)</f>
        <v>73.9101</v>
      </c>
      <c r="C1035" s="4">
        <f>73.5197 * CHOOSE(CONTROL!$C$9, $C$13, 100%, $E$13) + CHOOSE(CONTROL!$C$28, 0.0272, 0)</f>
        <v>73.546899999999994</v>
      </c>
      <c r="D1035" s="4">
        <f>113.4164 * CHOOSE(CONTROL!$C$9, $C$13, 100%, $E$13) + CHOOSE(CONTROL!$C$28, 0.0021, 0)</f>
        <v>113.41849999999999</v>
      </c>
      <c r="E1035" s="4">
        <f>538.688251661334 * CHOOSE(CONTROL!$C$9, $C$13, 100%, $E$13) + CHOOSE(CONTROL!$C$28, 0.0021, 0)</f>
        <v>538.69035166133403</v>
      </c>
    </row>
    <row r="1036" spans="1:5" ht="15">
      <c r="A1036" s="13">
        <v>72685</v>
      </c>
      <c r="B1036" s="4">
        <f>72.7379 * CHOOSE(CONTROL!$C$9, $C$13, 100%, $E$13) + CHOOSE(CONTROL!$C$28, 0.0272, 0)</f>
        <v>72.76509999999999</v>
      </c>
      <c r="C1036" s="4">
        <f>72.3747 * CHOOSE(CONTROL!$C$9, $C$13, 100%, $E$13) + CHOOSE(CONTROL!$C$28, 0.0272, 0)</f>
        <v>72.401899999999998</v>
      </c>
      <c r="D1036" s="4">
        <f>109.4522 * CHOOSE(CONTROL!$C$9, $C$13, 100%, $E$13) + CHOOSE(CONTROL!$C$28, 0.0021, 0)</f>
        <v>109.4543</v>
      </c>
      <c r="E1036" s="4">
        <f>530.251678606176 * CHOOSE(CONTROL!$C$9, $C$13, 100%, $E$13) + CHOOSE(CONTROL!$C$28, 0.0021, 0)</f>
        <v>530.25377860617607</v>
      </c>
    </row>
    <row r="1037" spans="1:5" ht="15">
      <c r="A1037" s="13">
        <v>72716</v>
      </c>
      <c r="B1037" s="4">
        <f>69.6053 * CHOOSE(CONTROL!$C$9, $C$13, 100%, $E$13) + CHOOSE(CONTROL!$C$28, 0.0272, 0)</f>
        <v>69.632499999999993</v>
      </c>
      <c r="C1037" s="4">
        <f>69.242 * CHOOSE(CONTROL!$C$9, $C$13, 100%, $E$13) + CHOOSE(CONTROL!$C$28, 0.0272, 0)</f>
        <v>69.269199999999998</v>
      </c>
      <c r="D1037" s="4">
        <f>105.0852 * CHOOSE(CONTROL!$C$9, $C$13, 100%, $E$13) + CHOOSE(CONTROL!$C$28, 0.0021, 0)</f>
        <v>105.0873</v>
      </c>
      <c r="E1037" s="4">
        <f>508.164541562191 * CHOOSE(CONTROL!$C$9, $C$13, 100%, $E$13) + CHOOSE(CONTROL!$C$28, 0.0021, 0)</f>
        <v>508.16664156219099</v>
      </c>
    </row>
    <row r="1038" spans="1:5" ht="15">
      <c r="A1038" s="13">
        <v>72744</v>
      </c>
      <c r="B1038" s="4">
        <f>71.2396 * CHOOSE(CONTROL!$C$9, $C$13, 100%, $E$13) + CHOOSE(CONTROL!$C$28, 0.0272, 0)</f>
        <v>71.266799999999989</v>
      </c>
      <c r="C1038" s="4">
        <f>70.8763 * CHOOSE(CONTROL!$C$9, $C$13, 100%, $E$13) + CHOOSE(CONTROL!$C$28, 0.0272, 0)</f>
        <v>70.903499999999994</v>
      </c>
      <c r="D1038" s="4">
        <f>108.7287 * CHOOSE(CONTROL!$C$9, $C$13, 100%, $E$13) + CHOOSE(CONTROL!$C$28, 0.0021, 0)</f>
        <v>108.7308</v>
      </c>
      <c r="E1038" s="4">
        <f>520.230370409317 * CHOOSE(CONTROL!$C$9, $C$13, 100%, $E$13) + CHOOSE(CONTROL!$C$28, 0.0021, 0)</f>
        <v>520.23247040931699</v>
      </c>
    </row>
    <row r="1039" spans="1:5" ht="15">
      <c r="A1039" s="13">
        <v>72775</v>
      </c>
      <c r="B1039" s="4">
        <f>75.5315 * CHOOSE(CONTROL!$C$9, $C$13, 100%, $E$13) + CHOOSE(CONTROL!$C$28, 0.0272, 0)</f>
        <v>75.558699999999988</v>
      </c>
      <c r="C1039" s="4">
        <f>75.1682 * CHOOSE(CONTROL!$C$9, $C$13, 100%, $E$13) + CHOOSE(CONTROL!$C$28, 0.0272, 0)</f>
        <v>75.195399999999992</v>
      </c>
      <c r="D1039" s="4">
        <f>114.4323 * CHOOSE(CONTROL!$C$9, $C$13, 100%, $E$13) + CHOOSE(CONTROL!$C$28, 0.0021, 0)</f>
        <v>114.4344</v>
      </c>
      <c r="E1039" s="4">
        <f>551.915878178956 * CHOOSE(CONTROL!$C$9, $C$13, 100%, $E$13) + CHOOSE(CONTROL!$C$28, 0.0021, 0)</f>
        <v>551.91797817895599</v>
      </c>
    </row>
    <row r="1040" spans="1:5" ht="15">
      <c r="A1040" s="13">
        <v>72805</v>
      </c>
      <c r="B1040" s="4">
        <f>78.5809 * CHOOSE(CONTROL!$C$9, $C$13, 100%, $E$13) + CHOOSE(CONTROL!$C$28, 0.0272, 0)</f>
        <v>78.608099999999993</v>
      </c>
      <c r="C1040" s="4">
        <f>78.2176 * CHOOSE(CONTROL!$C$9, $C$13, 100%, $E$13) + CHOOSE(CONTROL!$C$28, 0.0272, 0)</f>
        <v>78.244799999999998</v>
      </c>
      <c r="D1040" s="4">
        <f>117.7178 * CHOOSE(CONTROL!$C$9, $C$13, 100%, $E$13) + CHOOSE(CONTROL!$C$28, 0.0021, 0)</f>
        <v>117.7199</v>
      </c>
      <c r="E1040" s="4">
        <f>574.428853714196 * CHOOSE(CONTROL!$C$9, $C$13, 100%, $E$13) + CHOOSE(CONTROL!$C$28, 0.0021, 0)</f>
        <v>574.43095371419599</v>
      </c>
    </row>
    <row r="1041" spans="1:5" ht="15">
      <c r="A1041" s="13">
        <v>72836</v>
      </c>
      <c r="B1041" s="4">
        <f>80.444 * CHOOSE(CONTROL!$C$9, $C$13, 100%, $E$13) + CHOOSE(CONTROL!$C$28, 0.0272, 0)</f>
        <v>80.471199999999996</v>
      </c>
      <c r="C1041" s="4">
        <f>80.0807 * CHOOSE(CONTROL!$C$9, $C$13, 100%, $E$13) + CHOOSE(CONTROL!$C$28, 0.0272, 0)</f>
        <v>80.107899999999987</v>
      </c>
      <c r="D1041" s="4">
        <f>116.4196 * CHOOSE(CONTROL!$C$9, $C$13, 100%, $E$13) + CHOOSE(CONTROL!$C$28, 0.0021, 0)</f>
        <v>116.4217</v>
      </c>
      <c r="E1041" s="4">
        <f>588.183742205507 * CHOOSE(CONTROL!$C$9, $C$13, 100%, $E$13) + CHOOSE(CONTROL!$C$28, 0.0021, 0)</f>
        <v>588.18584220550702</v>
      </c>
    </row>
    <row r="1042" spans="1:5" ht="15">
      <c r="A1042" s="13">
        <v>72866</v>
      </c>
      <c r="B1042" s="4">
        <f>80.6961 * CHOOSE(CONTROL!$C$9, $C$13, 100%, $E$13) + CHOOSE(CONTROL!$C$28, 0.0272, 0)</f>
        <v>80.723299999999995</v>
      </c>
      <c r="C1042" s="4">
        <f>80.3328 * CHOOSE(CONTROL!$C$9, $C$13, 100%, $E$13) + CHOOSE(CONTROL!$C$28, 0.0272, 0)</f>
        <v>80.36</v>
      </c>
      <c r="D1042" s="4">
        <f>117.4769 * CHOOSE(CONTROL!$C$9, $C$13, 100%, $E$13) + CHOOSE(CONTROL!$C$28, 0.0021, 0)</f>
        <v>117.479</v>
      </c>
      <c r="E1042" s="4">
        <f>590.044835702342 * CHOOSE(CONTROL!$C$9, $C$13, 100%, $E$13) + CHOOSE(CONTROL!$C$28, 0.0021, 0)</f>
        <v>590.04693570234201</v>
      </c>
    </row>
    <row r="1043" spans="1:5" ht="15">
      <c r="A1043" s="13">
        <v>72897</v>
      </c>
      <c r="B1043" s="4">
        <f>80.6707 * CHOOSE(CONTROL!$C$9, $C$13, 100%, $E$13) + CHOOSE(CONTROL!$C$28, 0.0272, 0)</f>
        <v>80.69789999999999</v>
      </c>
      <c r="C1043" s="4">
        <f>80.3074 * CHOOSE(CONTROL!$C$9, $C$13, 100%, $E$13) + CHOOSE(CONTROL!$C$28, 0.0272, 0)</f>
        <v>80.334599999999995</v>
      </c>
      <c r="D1043" s="4">
        <f>119.3847 * CHOOSE(CONTROL!$C$9, $C$13, 100%, $E$13) + CHOOSE(CONTROL!$C$28, 0.0021, 0)</f>
        <v>119.38679999999999</v>
      </c>
      <c r="E1043" s="4">
        <f>589.857162408543 * CHOOSE(CONTROL!$C$9, $C$13, 100%, $E$13) + CHOOSE(CONTROL!$C$28, 0.0021, 0)</f>
        <v>589.85926240854303</v>
      </c>
    </row>
    <row r="1044" spans="1:5" ht="15">
      <c r="A1044" s="13">
        <v>72928</v>
      </c>
      <c r="B1044" s="4">
        <f>82.5836 * CHOOSE(CONTROL!$C$9, $C$13, 100%, $E$13) + CHOOSE(CONTROL!$C$28, 0.0272, 0)</f>
        <v>82.610799999999998</v>
      </c>
      <c r="C1044" s="4">
        <f>82.2203 * CHOOSE(CONTROL!$C$9, $C$13, 100%, $E$13) + CHOOSE(CONTROL!$C$28, 0.0272, 0)</f>
        <v>82.247499999999988</v>
      </c>
      <c r="D1044" s="4">
        <f>118.1248 * CHOOSE(CONTROL!$C$9, $C$13, 100%, $E$13) + CHOOSE(CONTROL!$C$28, 0.0021, 0)</f>
        <v>118.12689999999999</v>
      </c>
      <c r="E1044" s="4">
        <f>603.979577766877 * CHOOSE(CONTROL!$C$9, $C$13, 100%, $E$13) + CHOOSE(CONTROL!$C$28, 0.0021, 0)</f>
        <v>603.98167776687706</v>
      </c>
    </row>
    <row r="1045" spans="1:5" ht="15">
      <c r="A1045" s="13">
        <v>72958</v>
      </c>
      <c r="B1045" s="4">
        <f>79.3234 * CHOOSE(CONTROL!$C$9, $C$13, 100%, $E$13) + CHOOSE(CONTROL!$C$28, 0.0272, 0)</f>
        <v>79.3506</v>
      </c>
      <c r="C1045" s="4">
        <f>78.9601 * CHOOSE(CONTROL!$C$9, $C$13, 100%, $E$13) + CHOOSE(CONTROL!$C$28, 0.0272, 0)</f>
        <v>78.987299999999991</v>
      </c>
      <c r="D1045" s="4">
        <f>117.5295 * CHOOSE(CONTROL!$C$9, $C$13, 100%, $E$13) + CHOOSE(CONTROL!$C$28, 0.0021, 0)</f>
        <v>117.5316</v>
      </c>
      <c r="E1045" s="4">
        <f>579.910477837225 * CHOOSE(CONTROL!$C$9, $C$13, 100%, $E$13) + CHOOSE(CONTROL!$C$28, 0.0021, 0)</f>
        <v>579.91257783722506</v>
      </c>
    </row>
    <row r="1046" spans="1:5" ht="15">
      <c r="A1046" s="13">
        <v>72989</v>
      </c>
      <c r="B1046" s="4">
        <f>76.7135 * CHOOSE(CONTROL!$C$9, $C$13, 100%, $E$13) + CHOOSE(CONTROL!$C$28, 0.0272, 0)</f>
        <v>76.74069999999999</v>
      </c>
      <c r="C1046" s="4">
        <f>76.3502 * CHOOSE(CONTROL!$C$9, $C$13, 100%, $E$13) + CHOOSE(CONTROL!$C$28, 0.0272, 0)</f>
        <v>76.377399999999994</v>
      </c>
      <c r="D1046" s="4">
        <f>115.9356 * CHOOSE(CONTROL!$C$9, $C$13, 100%, $E$13) + CHOOSE(CONTROL!$C$28, 0.0021, 0)</f>
        <v>115.93769999999999</v>
      </c>
      <c r="E1046" s="4">
        <f>560.642686340584 * CHOOSE(CONTROL!$C$9, $C$13, 100%, $E$13) + CHOOSE(CONTROL!$C$28, 0.0021, 0)</f>
        <v>560.64478634058401</v>
      </c>
    </row>
    <row r="1047" spans="1:5" ht="15">
      <c r="A1047" s="13">
        <v>73019</v>
      </c>
      <c r="B1047" s="4">
        <f>75.0326 * CHOOSE(CONTROL!$C$9, $C$13, 100%, $E$13) + CHOOSE(CONTROL!$C$28, 0.0272, 0)</f>
        <v>75.059799999999996</v>
      </c>
      <c r="C1047" s="4">
        <f>74.6693 * CHOOSE(CONTROL!$C$9, $C$13, 100%, $E$13) + CHOOSE(CONTROL!$C$28, 0.0272, 0)</f>
        <v>74.6965</v>
      </c>
      <c r="D1047" s="4">
        <f>115.3876 * CHOOSE(CONTROL!$C$9, $C$13, 100%, $E$13) + CHOOSE(CONTROL!$C$28, 0.0021, 0)</f>
        <v>115.3897</v>
      </c>
      <c r="E1047" s="4">
        <f>548.232789788161 * CHOOSE(CONTROL!$C$9, $C$13, 100%, $E$13) + CHOOSE(CONTROL!$C$28, 0.0021, 0)</f>
        <v>548.23488978816101</v>
      </c>
    </row>
    <row r="1048" spans="1:5" ht="15">
      <c r="A1048" s="13">
        <v>73050</v>
      </c>
      <c r="B1048" s="4">
        <f>73.8696 * CHOOSE(CONTROL!$C$9, $C$13, 100%, $E$13) + CHOOSE(CONTROL!$C$28, 0.0272, 0)</f>
        <v>73.896799999999999</v>
      </c>
      <c r="C1048" s="4">
        <f>73.5063 * CHOOSE(CONTROL!$C$9, $C$13, 100%, $E$13) + CHOOSE(CONTROL!$C$28, 0.0272, 0)</f>
        <v>73.533499999999989</v>
      </c>
      <c r="D1048" s="4">
        <f>111.3533 * CHOOSE(CONTROL!$C$9, $C$13, 100%, $E$13) + CHOOSE(CONTROL!$C$28, 0.0021, 0)</f>
        <v>111.3554</v>
      </c>
      <c r="E1048" s="4">
        <f>539.646736596882 * CHOOSE(CONTROL!$C$9, $C$13, 100%, $E$13) + CHOOSE(CONTROL!$C$28, 0.0021, 0)</f>
        <v>539.64883659688201</v>
      </c>
    </row>
    <row r="1049" spans="1:5" ht="15">
      <c r="A1049" s="13">
        <v>73081</v>
      </c>
      <c r="B1049" s="4">
        <f>70.6876 * CHOOSE(CONTROL!$C$9, $C$13, 100%, $E$13) + CHOOSE(CONTROL!$C$28, 0.0272, 0)</f>
        <v>70.714799999999997</v>
      </c>
      <c r="C1049" s="4">
        <f>70.3244 * CHOOSE(CONTROL!$C$9, $C$13, 100%, $E$13) + CHOOSE(CONTROL!$C$28, 0.0272, 0)</f>
        <v>70.351599999999991</v>
      </c>
      <c r="D1049" s="4">
        <f>106.9091 * CHOOSE(CONTROL!$C$9, $C$13, 100%, $E$13) + CHOOSE(CONTROL!$C$28, 0.0021, 0)</f>
        <v>106.91119999999999</v>
      </c>
      <c r="E1049" s="4">
        <f>517.168257211611 * CHOOSE(CONTROL!$C$9, $C$13, 100%, $E$13) + CHOOSE(CONTROL!$C$28, 0.0021, 0)</f>
        <v>517.17035721161108</v>
      </c>
    </row>
    <row r="1050" spans="1:5" ht="15">
      <c r="A1050" s="13">
        <v>73109</v>
      </c>
      <c r="B1050" s="4">
        <f>72.3477 * CHOOSE(CONTROL!$C$9, $C$13, 100%, $E$13) + CHOOSE(CONTROL!$C$28, 0.0272, 0)</f>
        <v>72.374899999999997</v>
      </c>
      <c r="C1050" s="4">
        <f>71.9844 * CHOOSE(CONTROL!$C$9, $C$13, 100%, $E$13) + CHOOSE(CONTROL!$C$28, 0.0272, 0)</f>
        <v>72.011599999999987</v>
      </c>
      <c r="D1050" s="4">
        <f>110.617 * CHOOSE(CONTROL!$C$9, $C$13, 100%, $E$13) + CHOOSE(CONTROL!$C$28, 0.0021, 0)</f>
        <v>110.6191</v>
      </c>
      <c r="E1050" s="4">
        <f>529.447869751082 * CHOOSE(CONTROL!$C$9, $C$13, 100%, $E$13) + CHOOSE(CONTROL!$C$28, 0.0021, 0)</f>
        <v>529.44996975108199</v>
      </c>
    </row>
    <row r="1051" spans="1:5" ht="15">
      <c r="A1051" s="13">
        <v>73140</v>
      </c>
      <c r="B1051" s="4">
        <f>76.707 * CHOOSE(CONTROL!$C$9, $C$13, 100%, $E$13) + CHOOSE(CONTROL!$C$28, 0.0272, 0)</f>
        <v>76.734199999999987</v>
      </c>
      <c r="C1051" s="4">
        <f>76.3437 * CHOOSE(CONTROL!$C$9, $C$13, 100%, $E$13) + CHOOSE(CONTROL!$C$28, 0.0272, 0)</f>
        <v>76.370899999999992</v>
      </c>
      <c r="D1051" s="4">
        <f>116.4214 * CHOOSE(CONTROL!$C$9, $C$13, 100%, $E$13) + CHOOSE(CONTROL!$C$28, 0.0021, 0)</f>
        <v>116.4235</v>
      </c>
      <c r="E1051" s="4">
        <f>561.694784857975 * CHOOSE(CONTROL!$C$9, $C$13, 100%, $E$13) + CHOOSE(CONTROL!$C$28, 0.0021, 0)</f>
        <v>561.69688485797508</v>
      </c>
    </row>
    <row r="1052" spans="1:5" ht="15">
      <c r="A1052" s="13">
        <v>73170</v>
      </c>
      <c r="B1052" s="4">
        <f>79.8044 * CHOOSE(CONTROL!$C$9, $C$13, 100%, $E$13) + CHOOSE(CONTROL!$C$28, 0.0272, 0)</f>
        <v>79.831599999999995</v>
      </c>
      <c r="C1052" s="4">
        <f>79.4411 * CHOOSE(CONTROL!$C$9, $C$13, 100%, $E$13) + CHOOSE(CONTROL!$C$28, 0.0272, 0)</f>
        <v>79.468299999999999</v>
      </c>
      <c r="D1052" s="4">
        <f>119.765 * CHOOSE(CONTROL!$C$9, $C$13, 100%, $E$13) + CHOOSE(CONTROL!$C$28, 0.0021, 0)</f>
        <v>119.7671</v>
      </c>
      <c r="E1052" s="4">
        <f>584.60664778807 * CHOOSE(CONTROL!$C$9, $C$13, 100%, $E$13) + CHOOSE(CONTROL!$C$28, 0.0021, 0)</f>
        <v>584.60874778806999</v>
      </c>
    </row>
    <row r="1053" spans="1:5" ht="15">
      <c r="A1053" s="13">
        <v>73201</v>
      </c>
      <c r="B1053" s="4">
        <f>81.6968 * CHOOSE(CONTROL!$C$9, $C$13, 100%, $E$13) + CHOOSE(CONTROL!$C$28, 0.0272, 0)</f>
        <v>81.72399999999999</v>
      </c>
      <c r="C1053" s="4">
        <f>81.3335 * CHOOSE(CONTROL!$C$9, $C$13, 100%, $E$13) + CHOOSE(CONTROL!$C$28, 0.0272, 0)</f>
        <v>81.360699999999994</v>
      </c>
      <c r="D1053" s="4">
        <f>118.4438 * CHOOSE(CONTROL!$C$9, $C$13, 100%, $E$13) + CHOOSE(CONTROL!$C$28, 0.0021, 0)</f>
        <v>118.44589999999999</v>
      </c>
      <c r="E1053" s="4">
        <f>598.605246917641 * CHOOSE(CONTROL!$C$9, $C$13, 100%, $E$13) + CHOOSE(CONTROL!$C$28, 0.0021, 0)</f>
        <v>598.60734691764105</v>
      </c>
    </row>
    <row r="1054" spans="1:5" ht="15">
      <c r="A1054" s="13">
        <v>73231</v>
      </c>
      <c r="B1054" s="4">
        <f>81.9529 * CHOOSE(CONTROL!$C$9, $C$13, 100%, $E$13) + CHOOSE(CONTROL!$C$28, 0.0272, 0)</f>
        <v>81.980099999999993</v>
      </c>
      <c r="C1054" s="4">
        <f>81.5896 * CHOOSE(CONTROL!$C$9, $C$13, 100%, $E$13) + CHOOSE(CONTROL!$C$28, 0.0272, 0)</f>
        <v>81.616799999999998</v>
      </c>
      <c r="D1054" s="4">
        <f>119.5198 * CHOOSE(CONTROL!$C$9, $C$13, 100%, $E$13) + CHOOSE(CONTROL!$C$28, 0.0021, 0)</f>
        <v>119.5219</v>
      </c>
      <c r="E1054" s="4">
        <f>600.499315475253 * CHOOSE(CONTROL!$C$9, $C$13, 100%, $E$13) + CHOOSE(CONTROL!$C$28, 0.0021, 0)</f>
        <v>600.501415475253</v>
      </c>
    </row>
    <row r="1055" spans="1:5" ht="15">
      <c r="A1055" s="13">
        <v>73262</v>
      </c>
      <c r="B1055" s="4">
        <f>81.9271 * CHOOSE(CONTROL!$C$9, $C$13, 100%, $E$13) + CHOOSE(CONTROL!$C$28, 0.0272, 0)</f>
        <v>81.954299999999989</v>
      </c>
      <c r="C1055" s="4">
        <f>81.5638 * CHOOSE(CONTROL!$C$9, $C$13, 100%, $E$13) + CHOOSE(CONTROL!$C$28, 0.0272, 0)</f>
        <v>81.590999999999994</v>
      </c>
      <c r="D1055" s="4">
        <f>121.4613 * CHOOSE(CONTROL!$C$9, $C$13, 100%, $E$13) + CHOOSE(CONTROL!$C$28, 0.0021, 0)</f>
        <v>121.46339999999999</v>
      </c>
      <c r="E1055" s="4">
        <f>600.308316965241 * CHOOSE(CONTROL!$C$9, $C$13, 100%, $E$13) + CHOOSE(CONTROL!$C$28, 0.0021, 0)</f>
        <v>600.31041696524107</v>
      </c>
    </row>
    <row r="1056" spans="1:5" ht="15">
      <c r="A1056" s="13">
        <v>73293</v>
      </c>
      <c r="B1056" s="4">
        <f>83.87 * CHOOSE(CONTROL!$C$9, $C$13, 100%, $E$13) + CHOOSE(CONTROL!$C$28, 0.0272, 0)</f>
        <v>83.897199999999998</v>
      </c>
      <c r="C1056" s="4">
        <f>83.5068 * CHOOSE(CONTROL!$C$9, $C$13, 100%, $E$13) + CHOOSE(CONTROL!$C$28, 0.0272, 0)</f>
        <v>83.533999999999992</v>
      </c>
      <c r="D1056" s="4">
        <f>120.1791 * CHOOSE(CONTROL!$C$9, $C$13, 100%, $E$13) + CHOOSE(CONTROL!$C$28, 0.0021, 0)</f>
        <v>120.1812</v>
      </c>
      <c r="E1056" s="4">
        <f>614.680954843585 * CHOOSE(CONTROL!$C$9, $C$13, 100%, $E$13) + CHOOSE(CONTROL!$C$28, 0.0021, 0)</f>
        <v>614.68305484358507</v>
      </c>
    </row>
    <row r="1057" spans="1:5" ht="15">
      <c r="A1057" s="13">
        <v>73323</v>
      </c>
      <c r="B1057" s="4">
        <f>80.5586 * CHOOSE(CONTROL!$C$9, $C$13, 100%, $E$13) + CHOOSE(CONTROL!$C$28, 0.0272, 0)</f>
        <v>80.585799999999992</v>
      </c>
      <c r="C1057" s="4">
        <f>80.1953 * CHOOSE(CONTROL!$C$9, $C$13, 100%, $E$13) + CHOOSE(CONTROL!$C$28, 0.0272, 0)</f>
        <v>80.222499999999997</v>
      </c>
      <c r="D1057" s="4">
        <f>119.5733 * CHOOSE(CONTROL!$C$9, $C$13, 100%, $E$13) + CHOOSE(CONTROL!$C$28, 0.0021, 0)</f>
        <v>119.5754</v>
      </c>
      <c r="E1057" s="4">
        <f>590.185395934647 * CHOOSE(CONTROL!$C$9, $C$13, 100%, $E$13) + CHOOSE(CONTROL!$C$28, 0.0021, 0)</f>
        <v>590.18749593464702</v>
      </c>
    </row>
    <row r="1058" spans="1:5" ht="15">
      <c r="A1058" s="13">
        <v>73354</v>
      </c>
      <c r="B1058" s="4">
        <f>77.9077 * CHOOSE(CONTROL!$C$9, $C$13, 100%, $E$13) + CHOOSE(CONTROL!$C$28, 0.0272, 0)</f>
        <v>77.934899999999999</v>
      </c>
      <c r="C1058" s="4">
        <f>77.5444 * CHOOSE(CONTROL!$C$9, $C$13, 100%, $E$13) + CHOOSE(CONTROL!$C$28, 0.0272, 0)</f>
        <v>77.571599999999989</v>
      </c>
      <c r="D1058" s="4">
        <f>117.9512 * CHOOSE(CONTROL!$C$9, $C$13, 100%, $E$13) + CHOOSE(CONTROL!$C$28, 0.0021, 0)</f>
        <v>117.9533</v>
      </c>
      <c r="E1058" s="4">
        <f>570.576215573496 * CHOOSE(CONTROL!$C$9, $C$13, 100%, $E$13) + CHOOSE(CONTROL!$C$28, 0.0021, 0)</f>
        <v>570.57831557349607</v>
      </c>
    </row>
    <row r="1059" spans="1:5" ht="15">
      <c r="A1059" s="13">
        <v>73384</v>
      </c>
      <c r="B1059" s="4">
        <f>76.2003 * CHOOSE(CONTROL!$C$9, $C$13, 100%, $E$13) + CHOOSE(CONTROL!$C$28, 0.0272, 0)</f>
        <v>76.227499999999992</v>
      </c>
      <c r="C1059" s="4">
        <f>75.837 * CHOOSE(CONTROL!$C$9, $C$13, 100%, $E$13) + CHOOSE(CONTROL!$C$28, 0.0272, 0)</f>
        <v>75.864199999999997</v>
      </c>
      <c r="D1059" s="4">
        <f>117.3936 * CHOOSE(CONTROL!$C$9, $C$13, 100%, $E$13) + CHOOSE(CONTROL!$C$28, 0.0021, 0)</f>
        <v>117.39570000000001</v>
      </c>
      <c r="E1059" s="4">
        <f>557.946439099005 * CHOOSE(CONTROL!$C$9, $C$13, 100%, $E$13) + CHOOSE(CONTROL!$C$28, 0.0021, 0)</f>
        <v>557.94853909900507</v>
      </c>
    </row>
    <row r="1060" spans="1:5" ht="15">
      <c r="A1060" s="13">
        <v>73415</v>
      </c>
      <c r="B1060" s="4">
        <f>75.019 * CHOOSE(CONTROL!$C$9, $C$13, 100%, $E$13) + CHOOSE(CONTROL!$C$28, 0.0272, 0)</f>
        <v>75.046199999999999</v>
      </c>
      <c r="C1060" s="4">
        <f>74.6557 * CHOOSE(CONTROL!$C$9, $C$13, 100%, $E$13) + CHOOSE(CONTROL!$C$28, 0.0272, 0)</f>
        <v>74.682899999999989</v>
      </c>
      <c r="D1060" s="4">
        <f>113.288 * CHOOSE(CONTROL!$C$9, $C$13, 100%, $E$13) + CHOOSE(CONTROL!$C$28, 0.0021, 0)</f>
        <v>113.2901</v>
      </c>
      <c r="E1060" s="4">
        <f>549.208257265992 * CHOOSE(CONTROL!$C$9, $C$13, 100%, $E$13) + CHOOSE(CONTROL!$C$28, 0.0021, 0)</f>
        <v>549.210357265992</v>
      </c>
    </row>
    <row r="1061" spans="1:5" ht="15">
      <c r="A1061" s="10"/>
      <c r="B1061" s="4"/>
      <c r="C1061" s="4"/>
      <c r="D1061" s="4"/>
      <c r="E1061" s="4"/>
    </row>
    <row r="1062" spans="1:5" ht="15">
      <c r="A1062" s="3">
        <v>2014</v>
      </c>
      <c r="B1062" s="4">
        <f>AVERAGE(B17:B28)</f>
        <v>15.386203767748668</v>
      </c>
      <c r="C1062" s="4">
        <f>AVERAGE(C17:C28)</f>
        <v>15.130949433113265</v>
      </c>
      <c r="D1062" s="4">
        <f>AVERAGE(D17:D28)</f>
        <v>22.496727086906802</v>
      </c>
      <c r="E1062" s="4">
        <f>AVERAGE(E17:E28)</f>
        <v>96.791049999999998</v>
      </c>
    </row>
    <row r="1063" spans="1:5" ht="15">
      <c r="A1063" s="3">
        <v>2015</v>
      </c>
      <c r="B1063" s="4">
        <f>AVERAGE(B29:B40)</f>
        <v>12.820158333333334</v>
      </c>
      <c r="C1063" s="4">
        <f>AVERAGE(C29:C40)</f>
        <v>12.456883333333336</v>
      </c>
      <c r="D1063" s="4">
        <f>AVERAGE(D29:D40)</f>
        <v>19.762124999999997</v>
      </c>
      <c r="E1063" s="4">
        <f>AVERAGE(E29:E40)</f>
        <v>79.007933333333327</v>
      </c>
    </row>
    <row r="1064" spans="1:5" ht="15">
      <c r="A1064" s="3">
        <v>2016</v>
      </c>
      <c r="B1064" s="4">
        <f>AVERAGE(B41:B52)</f>
        <v>13.312358333333334</v>
      </c>
      <c r="C1064" s="4">
        <f>AVERAGE(C41:C52)</f>
        <v>12.949075000000001</v>
      </c>
      <c r="D1064" s="4">
        <f>AVERAGE(D41:D52)</f>
        <v>19.9239</v>
      </c>
      <c r="E1064" s="4">
        <f>AVERAGE(E41:E52)</f>
        <v>80.025433333333339</v>
      </c>
    </row>
    <row r="1065" spans="1:5" ht="15">
      <c r="A1065" s="3">
        <v>2017</v>
      </c>
      <c r="B1065" s="4">
        <f>AVERAGE(B53:B64)</f>
        <v>13.400958333333335</v>
      </c>
      <c r="C1065" s="4">
        <f>AVERAGE(C53:C64)</f>
        <v>13.037691666666666</v>
      </c>
      <c r="D1065" s="4">
        <f>AVERAGE(D53:D64)</f>
        <v>20.184699999999999</v>
      </c>
      <c r="E1065" s="4">
        <f>AVERAGE(E53:E64)</f>
        <v>77.868350000000007</v>
      </c>
    </row>
    <row r="1066" spans="1:5" ht="15">
      <c r="A1066" s="3">
        <v>2018</v>
      </c>
      <c r="B1066" s="4">
        <f>AVERAGE(B65:B76)</f>
        <v>13.607550000000002</v>
      </c>
      <c r="C1066" s="4">
        <f>AVERAGE(C65:C76)</f>
        <v>13.244250000000003</v>
      </c>
      <c r="D1066" s="4">
        <f>AVERAGE(D65:D76)</f>
        <v>20.804383333333334</v>
      </c>
      <c r="E1066" s="4">
        <f>AVERAGE(E65:E76)</f>
        <v>81.070433333333327</v>
      </c>
    </row>
    <row r="1067" spans="1:5" ht="15">
      <c r="A1067" s="3">
        <v>2019</v>
      </c>
      <c r="B1067" s="4">
        <f>AVERAGE(B77:B88)</f>
        <v>14.936308333333335</v>
      </c>
      <c r="C1067" s="4">
        <f>AVERAGE(C77:C88)</f>
        <v>14.573033333333333</v>
      </c>
      <c r="D1067" s="4">
        <f>AVERAGE(D77:D88)</f>
        <v>22.618024999999999</v>
      </c>
      <c r="E1067" s="4">
        <f>AVERAGE(E77:E88)</f>
        <v>86.912103662109359</v>
      </c>
    </row>
    <row r="1068" spans="1:5" ht="15">
      <c r="A1068" s="3">
        <v>2020</v>
      </c>
      <c r="B1068" s="4">
        <f>AVERAGE(B89:B100)</f>
        <v>16.182766666666669</v>
      </c>
      <c r="C1068" s="4">
        <f>AVERAGE(C89:C100)</f>
        <v>15.8195</v>
      </c>
      <c r="D1068" s="4">
        <f>AVERAGE(D89:D100)</f>
        <v>24.196758333333332</v>
      </c>
      <c r="E1068" s="4">
        <f>AVERAGE(E89:E100)</f>
        <v>93.820581445312541</v>
      </c>
    </row>
    <row r="1069" spans="1:5" ht="15">
      <c r="A1069" s="3">
        <v>2021</v>
      </c>
      <c r="B1069" s="4">
        <f>AVERAGE(B101:B112)</f>
        <v>17.500583333333335</v>
      </c>
      <c r="C1069" s="4">
        <f>AVERAGE(C101:C112)</f>
        <v>17.137300000000003</v>
      </c>
      <c r="D1069" s="4">
        <f>AVERAGE(D101:D112)</f>
        <v>25.766341666666662</v>
      </c>
      <c r="E1069" s="4">
        <f>AVERAGE(E101:E112)</f>
        <v>100.63031960449216</v>
      </c>
    </row>
    <row r="1070" spans="1:5" ht="15">
      <c r="A1070" s="3">
        <v>2022</v>
      </c>
      <c r="B1070" s="4">
        <f>AVERAGE(B113:B124)</f>
        <v>17.839225000000003</v>
      </c>
      <c r="C1070" s="4">
        <f>AVERAGE(C113:C124)</f>
        <v>17.475933333333334</v>
      </c>
      <c r="D1070" s="4">
        <f>AVERAGE(D113:D124)</f>
        <v>26.597216666666668</v>
      </c>
      <c r="E1070" s="4">
        <f>AVERAGE(E113:E124)</f>
        <v>108.53299141845712</v>
      </c>
    </row>
    <row r="1071" spans="1:5" ht="15">
      <c r="A1071" s="3">
        <v>2023</v>
      </c>
      <c r="B1071" s="4">
        <f>AVERAGE(B125:B136)</f>
        <v>18.415883333333337</v>
      </c>
      <c r="C1071" s="4">
        <f>AVERAGE(C125:C136)</f>
        <v>18.052591666666665</v>
      </c>
      <c r="D1071" s="4">
        <f>AVERAGE(D125:D136)</f>
        <v>27.372049999999998</v>
      </c>
      <c r="E1071" s="4">
        <f>AVERAGE(E125:E136)</f>
        <v>116.4291095825195</v>
      </c>
    </row>
    <row r="1072" spans="1:5" ht="15">
      <c r="A1072" s="3">
        <v>2024</v>
      </c>
      <c r="B1072" s="4">
        <f>AVERAGE(B137:B148)</f>
        <v>19.350591666666666</v>
      </c>
      <c r="C1072" s="4">
        <f>AVERAGE(C137:C148)</f>
        <v>18.987325000000002</v>
      </c>
      <c r="D1072" s="4">
        <f>AVERAGE(D137:D148)</f>
        <v>28.368425000000002</v>
      </c>
      <c r="E1072" s="4">
        <f>AVERAGE(E137:E148)</f>
        <v>122.29261971435534</v>
      </c>
    </row>
    <row r="1073" spans="1:5" ht="15">
      <c r="A1073" s="3">
        <v>2025</v>
      </c>
      <c r="B1073" s="4">
        <f>AVERAGE(B149:B160)</f>
        <v>20.648608333333332</v>
      </c>
      <c r="C1073" s="4">
        <f>AVERAGE(C149:C160)</f>
        <v>20.285325000000004</v>
      </c>
      <c r="D1073" s="4">
        <f>AVERAGE(D149:D160)</f>
        <v>29.407383333333332</v>
      </c>
      <c r="E1073" s="4">
        <f>AVERAGE(E149:E160)</f>
        <v>129.79194069824214</v>
      </c>
    </row>
    <row r="1074" spans="1:5" ht="15">
      <c r="A1074" s="3">
        <v>2026</v>
      </c>
      <c r="B1074" s="4">
        <f>AVERAGE(B161:B172)</f>
        <v>21.456975</v>
      </c>
      <c r="C1074" s="4">
        <f>AVERAGE(C161:C172)</f>
        <v>21.093675000000001</v>
      </c>
      <c r="D1074" s="4">
        <f>AVERAGE(D161:D172)</f>
        <v>30.409699999999997</v>
      </c>
      <c r="E1074" s="4">
        <f>AVERAGE(E161:E172)</f>
        <v>135.10691262207035</v>
      </c>
    </row>
    <row r="1075" spans="1:5" ht="15">
      <c r="A1075" s="3">
        <v>2027</v>
      </c>
      <c r="B1075" s="4">
        <f>AVERAGE(B173:B184)</f>
        <v>22.312883333333335</v>
      </c>
      <c r="C1075" s="4">
        <f>AVERAGE(C173:C184)</f>
        <v>21.949608333333334</v>
      </c>
      <c r="D1075" s="4">
        <f>AVERAGE(D173:D184)</f>
        <v>31.447108333333336</v>
      </c>
      <c r="E1075" s="4">
        <f>AVERAGE(E173:E184)</f>
        <v>140.64736367187493</v>
      </c>
    </row>
    <row r="1076" spans="1:5" ht="15">
      <c r="A1076" s="3">
        <v>2028</v>
      </c>
      <c r="B1076" s="4">
        <f>AVERAGE(B185:B196)</f>
        <v>23.164633333333331</v>
      </c>
      <c r="C1076" s="4">
        <f>AVERAGE(C185:C196)</f>
        <v>22.801341666666669</v>
      </c>
      <c r="D1076" s="4">
        <f>AVERAGE(D185:D196)</f>
        <v>32.464441666666659</v>
      </c>
      <c r="E1076" s="4">
        <f>AVERAGE(E185:E196)</f>
        <v>146.40314675292987</v>
      </c>
    </row>
    <row r="1077" spans="1:5" ht="15">
      <c r="A1077" s="3">
        <v>2029</v>
      </c>
      <c r="B1077" s="4">
        <f>AVERAGE(B197:B208)</f>
        <v>24.099508333333333</v>
      </c>
      <c r="C1077" s="4">
        <f>AVERAGE(C197:C208)</f>
        <v>23.736225000000001</v>
      </c>
      <c r="D1077" s="4">
        <f>AVERAGE(D197:D208)</f>
        <v>33.471841666666663</v>
      </c>
      <c r="E1077" s="4">
        <f>AVERAGE(E197:E208)</f>
        <v>152.39406777343746</v>
      </c>
    </row>
    <row r="1078" spans="1:5" ht="15">
      <c r="A1078" s="3">
        <v>2030</v>
      </c>
      <c r="B1078" s="4">
        <f>AVERAGE(B209:B220)</f>
        <v>25.074341666666669</v>
      </c>
      <c r="C1078" s="4">
        <f>AVERAGE(C209:C220)</f>
        <v>24.711066666666667</v>
      </c>
      <c r="D1078" s="4">
        <f>AVERAGE(D209:D220)</f>
        <v>34.531708333333327</v>
      </c>
      <c r="E1078" s="4">
        <f>AVERAGE(E209:E220)</f>
        <v>158.63967324218751</v>
      </c>
    </row>
    <row r="1079" spans="1:5" ht="15">
      <c r="A1079" s="3">
        <v>2031</v>
      </c>
      <c r="B1079" s="4">
        <f>AVERAGE(B221:B232)</f>
        <v>25.825383333333331</v>
      </c>
      <c r="C1079" s="4">
        <f>AVERAGE(C221:C232)</f>
        <v>25.462100000000003</v>
      </c>
      <c r="D1079" s="4">
        <f>AVERAGE(D221:D232)</f>
        <v>35.354449999999993</v>
      </c>
      <c r="E1079" s="4">
        <f>AVERAGE(E221:E232)</f>
        <v>163.49678994140626</v>
      </c>
    </row>
    <row r="1080" spans="1:5" ht="15">
      <c r="A1080" s="3">
        <v>2032</v>
      </c>
      <c r="B1080" s="4">
        <f>AVERAGE(B233:B244)</f>
        <v>26.59204166666667</v>
      </c>
      <c r="C1080" s="4">
        <f>AVERAGE(C233:C244)</f>
        <v>26.228758333333328</v>
      </c>
      <c r="D1080" s="4">
        <f>AVERAGE(D233:D244)</f>
        <v>36.177216666666673</v>
      </c>
      <c r="E1080" s="4">
        <f>AVERAGE(E233:E244)</f>
        <v>168.35781289062498</v>
      </c>
    </row>
    <row r="1081" spans="1:5" ht="15">
      <c r="A1081" s="3">
        <v>2033</v>
      </c>
      <c r="B1081" s="4">
        <f>AVERAGE(B245:B256)</f>
        <v>27.35870833333334</v>
      </c>
      <c r="C1081" s="4">
        <f>AVERAGE(C245:C256)</f>
        <v>26.995408333333334</v>
      </c>
      <c r="D1081" s="4">
        <f>AVERAGE(D245:D256)</f>
        <v>36.999958333333332</v>
      </c>
      <c r="E1081" s="4">
        <f>AVERAGE(E245:E256)</f>
        <v>173.21837807617194</v>
      </c>
    </row>
    <row r="1082" spans="1:5" ht="15">
      <c r="A1082" s="3">
        <v>2034</v>
      </c>
      <c r="B1082" s="4">
        <f>AVERAGE(B257:B268)</f>
        <v>28.125375000000002</v>
      </c>
      <c r="C1082" s="4">
        <f>AVERAGE(C257:C268)</f>
        <v>27.762100000000004</v>
      </c>
      <c r="D1082" s="4">
        <f>AVERAGE(D257:D268)</f>
        <v>37.822724999999998</v>
      </c>
      <c r="E1082" s="4">
        <f>AVERAGE(E257:E268)</f>
        <v>178.07847023925788</v>
      </c>
    </row>
    <row r="1083" spans="1:5" ht="15">
      <c r="A1083" s="3">
        <v>2035</v>
      </c>
      <c r="B1083" s="4">
        <f>AVERAGE(B269:B280)</f>
        <v>28.892025</v>
      </c>
      <c r="C1083" s="4">
        <f>AVERAGE(C269:C280)</f>
        <v>28.528750000000002</v>
      </c>
      <c r="D1083" s="4">
        <f>AVERAGE(D269:D280)</f>
        <v>38.672908333333332</v>
      </c>
      <c r="E1083" s="4">
        <f>AVERAGE(E269:E280)</f>
        <v>182.93810463867183</v>
      </c>
    </row>
    <row r="1084" spans="1:5" ht="15">
      <c r="A1084" s="3">
        <v>2036</v>
      </c>
      <c r="B1084" s="4">
        <f>AVERAGE(B281:B292)</f>
        <v>29.333783333333333</v>
      </c>
      <c r="C1084" s="4">
        <f>AVERAGE(C281:C292)</f>
        <v>28.970483333333338</v>
      </c>
      <c r="D1084" s="4">
        <f>AVERAGE(D281:D292)</f>
        <v>39.323450000000001</v>
      </c>
      <c r="E1084" s="4">
        <f>AVERAGE(E281:E292)</f>
        <v>186.17938503722948</v>
      </c>
    </row>
    <row r="1085" spans="1:5" ht="15">
      <c r="A1085" s="3">
        <v>2037</v>
      </c>
      <c r="B1085" s="4">
        <f>AVERAGE(B293:B304)</f>
        <v>29.782458333333334</v>
      </c>
      <c r="C1085" s="4">
        <f>AVERAGE(C293:C304)</f>
        <v>29.419158333333332</v>
      </c>
      <c r="D1085" s="4">
        <f>AVERAGE(D293:D304)</f>
        <v>39.98545</v>
      </c>
      <c r="E1085" s="4">
        <f>AVERAGE(E293:E304)</f>
        <v>189.47809480100599</v>
      </c>
    </row>
    <row r="1086" spans="1:5" ht="15">
      <c r="A1086" s="3">
        <f t="shared" ref="A1086:A1117" si="0">A1085+1</f>
        <v>2038</v>
      </c>
      <c r="B1086" s="4">
        <f>AVERAGE(B305:B316)</f>
        <v>30.238183333333335</v>
      </c>
      <c r="C1086" s="4">
        <f>AVERAGE(C305:C316)</f>
        <v>29.874916666666664</v>
      </c>
      <c r="D1086" s="4">
        <f>AVERAGE(D305:D316)</f>
        <v>40.659200000000006</v>
      </c>
      <c r="E1086" s="4">
        <f>AVERAGE(E305:E316)</f>
        <v>192.8352514698569</v>
      </c>
    </row>
    <row r="1087" spans="1:5" ht="15">
      <c r="A1087" s="3">
        <f t="shared" si="0"/>
        <v>2039</v>
      </c>
      <c r="B1087" s="4">
        <f>AVERAGE(B317:B328)</f>
        <v>30.701108333333337</v>
      </c>
      <c r="C1087" s="4">
        <f>AVERAGE(C317:C328)</f>
        <v>30.337808333333331</v>
      </c>
      <c r="D1087" s="4">
        <f>AVERAGE(D317:D328)</f>
        <v>41.344824999999993</v>
      </c>
      <c r="E1087" s="4">
        <f>AVERAGE(E317:E328)</f>
        <v>196.25189061252252</v>
      </c>
    </row>
    <row r="1088" spans="1:5" ht="15">
      <c r="A1088" s="3">
        <f t="shared" si="0"/>
        <v>2040</v>
      </c>
      <c r="B1088" s="4">
        <f>AVERAGE(B329:B340)</f>
        <v>31.171283333333335</v>
      </c>
      <c r="C1088" s="4">
        <f>AVERAGE(C329:C340)</f>
        <v>30.807983333333329</v>
      </c>
      <c r="D1088" s="4">
        <f>AVERAGE(D329:D340)</f>
        <v>42.042541666666658</v>
      </c>
      <c r="E1088" s="4">
        <f>AVERAGE(E329:E340)</f>
        <v>199.72906614606379</v>
      </c>
    </row>
    <row r="1089" spans="1:5" ht="15">
      <c r="A1089" s="3">
        <f t="shared" si="0"/>
        <v>2041</v>
      </c>
      <c r="B1089" s="4">
        <f>AVERAGE(B341:B352)</f>
        <v>31.648858333333326</v>
      </c>
      <c r="C1089" s="4">
        <f>AVERAGE(C341:C352)</f>
        <v>31.285566666666664</v>
      </c>
      <c r="D1089" s="4">
        <f>AVERAGE(D341:D352)</f>
        <v>42.75260833333332</v>
      </c>
      <c r="E1089" s="4">
        <f>AVERAGE(E341:E352)</f>
        <v>203.26785066096159</v>
      </c>
    </row>
    <row r="1090" spans="1:5" ht="15">
      <c r="A1090" s="3">
        <f t="shared" si="0"/>
        <v>2042</v>
      </c>
      <c r="B1090" s="4">
        <f>AVERAGE(B353:B364)</f>
        <v>32.133933333333339</v>
      </c>
      <c r="C1090" s="4">
        <f>AVERAGE(C353:C364)</f>
        <v>31.770633333333336</v>
      </c>
      <c r="D1090" s="4">
        <f>AVERAGE(D353:D364)</f>
        <v>43.475233333333335</v>
      </c>
      <c r="E1090" s="4">
        <f>AVERAGE(E353:E364)</f>
        <v>206.86933575197338</v>
      </c>
    </row>
    <row r="1091" spans="1:5" ht="15">
      <c r="A1091" s="3">
        <f t="shared" si="0"/>
        <v>2043</v>
      </c>
      <c r="B1091" s="4">
        <f>AVERAGE(B365:B376)</f>
        <v>32.626649999999991</v>
      </c>
      <c r="C1091" s="4">
        <f>AVERAGE(C365:C376)</f>
        <v>32.26336666666667</v>
      </c>
      <c r="D1091" s="4">
        <f>AVERAGE(D365:D376)</f>
        <v>44.210599999999999</v>
      </c>
      <c r="E1091" s="4">
        <f>AVERAGE(E365:E376)</f>
        <v>210.53463235485401</v>
      </c>
    </row>
    <row r="1092" spans="1:5" ht="15">
      <c r="A1092" s="3">
        <f t="shared" si="0"/>
        <v>2044</v>
      </c>
      <c r="B1092" s="4">
        <f>AVERAGE(B377:B388)</f>
        <v>33.127108333333332</v>
      </c>
      <c r="C1092" s="4">
        <f>AVERAGE(C377:C388)</f>
        <v>32.763825000000004</v>
      </c>
      <c r="D1092" s="4">
        <f>AVERAGE(D377:D388)</f>
        <v>44.958958333333328</v>
      </c>
      <c r="E1092" s="4">
        <f>AVERAGE(E377:E388)</f>
        <v>214.26487108904053</v>
      </c>
    </row>
    <row r="1093" spans="1:5" ht="15">
      <c r="A1093" s="3">
        <f t="shared" si="0"/>
        <v>2045</v>
      </c>
      <c r="B1093" s="4">
        <f>AVERAGE(B389:B400)</f>
        <v>33.635449999999999</v>
      </c>
      <c r="C1093" s="4">
        <f>AVERAGE(C389:C400)</f>
        <v>33.272158333333337</v>
      </c>
      <c r="D1093" s="4">
        <f>AVERAGE(D389:D400)</f>
        <v>45.720558333333337</v>
      </c>
      <c r="E1093" s="4">
        <f>AVERAGE(E389:E400)</f>
        <v>218.06120260641046</v>
      </c>
    </row>
    <row r="1094" spans="1:5" ht="15">
      <c r="A1094" s="3">
        <f t="shared" si="0"/>
        <v>2046</v>
      </c>
      <c r="B1094" s="4">
        <f>AVERAGE(B401:B412)</f>
        <v>34.151766666666667</v>
      </c>
      <c r="C1094" s="4">
        <f>AVERAGE(C401:C412)</f>
        <v>33.788500000000006</v>
      </c>
      <c r="D1094" s="4">
        <f>AVERAGE(D401:D412)</f>
        <v>46.495591666666662</v>
      </c>
      <c r="E1094" s="4">
        <f>AVERAGE(E401:E412)</f>
        <v>221.92479794621909</v>
      </c>
    </row>
    <row r="1095" spans="1:5" ht="15">
      <c r="A1095" s="3">
        <f t="shared" si="0"/>
        <v>2047</v>
      </c>
      <c r="B1095" s="4">
        <f>AVERAGE(B413:B424)</f>
        <v>34.676200000000001</v>
      </c>
      <c r="C1095" s="4">
        <f>AVERAGE(C413:C424)</f>
        <v>34.312916666666673</v>
      </c>
      <c r="D1095" s="4">
        <f>AVERAGE(D413:D424)</f>
        <v>47.28435833333333</v>
      </c>
      <c r="E1095" s="4">
        <f>AVERAGE(E413:E424)</f>
        <v>225.85684889632503</v>
      </c>
    </row>
    <row r="1096" spans="1:5" ht="15">
      <c r="A1096" s="3">
        <f t="shared" si="0"/>
        <v>2048</v>
      </c>
      <c r="B1096" s="4">
        <f>AVERAGE(B425:B436)</f>
        <v>35.208908333333326</v>
      </c>
      <c r="C1096" s="4">
        <f>AVERAGE(C425:C436)</f>
        <v>34.845625000000005</v>
      </c>
      <c r="D1096" s="4">
        <f>AVERAGE(D425:D436)</f>
        <v>48.087025000000004</v>
      </c>
      <c r="E1096" s="4">
        <f>AVERAGE(E425:E436)</f>
        <v>229.85856836081612</v>
      </c>
    </row>
    <row r="1097" spans="1:5" ht="15">
      <c r="A1097" s="3">
        <f t="shared" si="0"/>
        <v>2049</v>
      </c>
      <c r="B1097" s="4">
        <f>AVERAGE(B437:B448)</f>
        <v>35.749975000000006</v>
      </c>
      <c r="C1097" s="4">
        <f>AVERAGE(C437:C448)</f>
        <v>35.38668333333333</v>
      </c>
      <c r="D1097" s="4">
        <f>AVERAGE(D437:D448)</f>
        <v>48.903891666666659</v>
      </c>
      <c r="E1097" s="4">
        <f>AVERAGE(E437:E448)</f>
        <v>233.93119073414911</v>
      </c>
    </row>
    <row r="1098" spans="1:5" ht="15">
      <c r="A1098" s="3">
        <f t="shared" si="0"/>
        <v>2050</v>
      </c>
      <c r="B1098" s="4">
        <f>AVERAGE(B449:B460)</f>
        <v>36.299541666666663</v>
      </c>
      <c r="C1098" s="4">
        <f>AVERAGE(C449:C460)</f>
        <v>35.936258333333335</v>
      </c>
      <c r="D1098" s="4">
        <f>AVERAGE(D449:D460)</f>
        <v>49.735166666666657</v>
      </c>
      <c r="E1098" s="4">
        <f>AVERAGE(E449:E460)</f>
        <v>238.07597228191824</v>
      </c>
    </row>
    <row r="1099" spans="1:5" ht="15">
      <c r="A1099" s="3">
        <f t="shared" si="0"/>
        <v>2051</v>
      </c>
      <c r="B1099" s="4">
        <f>AVERAGE(B461:B472)</f>
        <v>36.85776666666667</v>
      </c>
      <c r="C1099" s="4">
        <f>AVERAGE(C461:C472)</f>
        <v>36.494483333333342</v>
      </c>
      <c r="D1099" s="4">
        <f>AVERAGE(D461:D472)</f>
        <v>50.581150000000001</v>
      </c>
      <c r="E1099" s="4">
        <f>AVERAGE(E461:E472)</f>
        <v>242.29419152837139</v>
      </c>
    </row>
    <row r="1100" spans="1:5" ht="15">
      <c r="A1100" s="3">
        <f t="shared" si="0"/>
        <v>2052</v>
      </c>
      <c r="B1100" s="4">
        <f>AVERAGE(B473:B484)</f>
        <v>37.424741666666669</v>
      </c>
      <c r="C1100" s="4">
        <f>AVERAGE(C473:C484)</f>
        <v>37.061483333333335</v>
      </c>
      <c r="D1100" s="4">
        <f>AVERAGE(D473:D484)</f>
        <v>51.442091666666663</v>
      </c>
      <c r="E1100" s="4">
        <f>AVERAGE(E473:E484)</f>
        <v>246.58714965079025</v>
      </c>
    </row>
    <row r="1101" spans="1:5" ht="15">
      <c r="A1101" s="3">
        <f t="shared" si="0"/>
        <v>2053</v>
      </c>
      <c r="B1101" s="4">
        <f>AVERAGE(B485:B496)</f>
        <v>38.000658333333327</v>
      </c>
      <c r="C1101" s="4">
        <f>AVERAGE(C485:C496)</f>
        <v>37.637391666666666</v>
      </c>
      <c r="D1101" s="4">
        <f>AVERAGE(D485:D496)</f>
        <v>52.318241666666658</v>
      </c>
      <c r="E1101" s="4">
        <f>AVERAGE(E485:E496)</f>
        <v>250.95617088085973</v>
      </c>
    </row>
    <row r="1102" spans="1:5" ht="15">
      <c r="A1102" s="3">
        <f t="shared" si="0"/>
        <v>2054</v>
      </c>
      <c r="B1102" s="4">
        <f>AVERAGE(B497:B508)</f>
        <v>38.585641666666668</v>
      </c>
      <c r="C1102" s="4">
        <f>AVERAGE(C497:C508)</f>
        <v>38.222349999999999</v>
      </c>
      <c r="D1102" s="4">
        <f>AVERAGE(D497:D508)</f>
        <v>53.209849999999996</v>
      </c>
      <c r="E1102" s="4">
        <f>AVERAGE(E497:E508)</f>
        <v>255.4026029131484</v>
      </c>
    </row>
    <row r="1103" spans="1:5" ht="15">
      <c r="A1103" s="3">
        <f t="shared" si="0"/>
        <v>2055</v>
      </c>
      <c r="B1103" s="4">
        <f>AVERAGE(B509:B520)</f>
        <v>39.179808333333327</v>
      </c>
      <c r="C1103" s="4">
        <f>AVERAGE(C509:C520)</f>
        <v>38.816533333333332</v>
      </c>
      <c r="D1103" s="4">
        <f>AVERAGE(D509:D520)</f>
        <v>54.117216666666671</v>
      </c>
      <c r="E1103" s="4">
        <f>AVERAGE(E509:E520)</f>
        <v>259.92781732082744</v>
      </c>
    </row>
    <row r="1104" spans="1:5" ht="15">
      <c r="A1104" s="3">
        <f t="shared" si="0"/>
        <v>2056</v>
      </c>
      <c r="B1104" s="4">
        <f>AVERAGE(B521:B532)</f>
        <v>39.783300000000004</v>
      </c>
      <c r="C1104" s="4">
        <f>AVERAGE(C521:C532)</f>
        <v>39.42004166666667</v>
      </c>
      <c r="D1104" s="4">
        <f>AVERAGE(D521:D532)</f>
        <v>55.040616666666665</v>
      </c>
      <c r="E1104" s="4">
        <f>AVERAGE(E521:E532)</f>
        <v>264.53320997875215</v>
      </c>
    </row>
    <row r="1105" spans="1:5" ht="15">
      <c r="A1105" s="3">
        <f t="shared" si="0"/>
        <v>2057</v>
      </c>
      <c r="B1105" s="4">
        <f>AVERAGE(B533:B544)</f>
        <v>40.396324999999997</v>
      </c>
      <c r="C1105" s="4">
        <f>AVERAGE(C533:C544)</f>
        <v>40.033041666666662</v>
      </c>
      <c r="D1105" s="4">
        <f>AVERAGE(D533:D544)</f>
        <v>55.980324999999993</v>
      </c>
      <c r="E1105" s="4">
        <f>AVERAGE(E533:E544)</f>
        <v>269.22020149404375</v>
      </c>
    </row>
    <row r="1106" spans="1:5" ht="15">
      <c r="A1106" s="3">
        <f t="shared" si="0"/>
        <v>2058</v>
      </c>
      <c r="B1106" s="4">
        <f>AVERAGE(B545:B556)</f>
        <v>41.018950000000011</v>
      </c>
      <c r="C1106" s="4">
        <f>AVERAGE(C545:C556)</f>
        <v>40.655675000000002</v>
      </c>
      <c r="D1106" s="4">
        <f>AVERAGE(D545:D556)</f>
        <v>56.936658333333327</v>
      </c>
      <c r="E1106" s="4">
        <f>AVERAGE(E545:E556)</f>
        <v>273.99023764429774</v>
      </c>
    </row>
    <row r="1107" spans="1:5" ht="15">
      <c r="A1107" s="3">
        <f t="shared" si="0"/>
        <v>2059</v>
      </c>
      <c r="B1107" s="4">
        <f>AVERAGE(B557:B568)</f>
        <v>41.651374999999994</v>
      </c>
      <c r="C1107" s="4">
        <f>AVERAGE(C557:C568)</f>
        <v>41.288108333333334</v>
      </c>
      <c r="D1107" s="4">
        <f>AVERAGE(D557:D568)</f>
        <v>57.909866666666666</v>
      </c>
      <c r="E1107" s="4">
        <f>AVERAGE(E557:E568)</f>
        <v>278.84478982355773</v>
      </c>
    </row>
    <row r="1108" spans="1:5" ht="15">
      <c r="A1108" s="3">
        <f t="shared" si="0"/>
        <v>2060</v>
      </c>
      <c r="B1108" s="4">
        <f>AVERAGE(B569:B580)</f>
        <v>42.293758333333336</v>
      </c>
      <c r="C1108" s="4">
        <f>AVERAGE(C569:C580)</f>
        <v>41.930483333333335</v>
      </c>
      <c r="D1108" s="4">
        <f>AVERAGE(D569:D580)</f>
        <v>58.900283333333334</v>
      </c>
      <c r="E1108" s="4">
        <f>AVERAGE(E569:E580)</f>
        <v>283.78535549618914</v>
      </c>
    </row>
    <row r="1109" spans="1:5" ht="15">
      <c r="A1109" s="3">
        <f t="shared" si="0"/>
        <v>2061</v>
      </c>
      <c r="B1109" s="4">
        <f>AVERAGE(B581:B592)</f>
        <v>42.946216666666658</v>
      </c>
      <c r="C1109" s="4">
        <f>AVERAGE(C581:C592)</f>
        <v>42.582949999999997</v>
      </c>
      <c r="D1109" s="4">
        <f>AVERAGE(D581:D592)</f>
        <v>59.908216666666668</v>
      </c>
      <c r="E1109" s="4">
        <f>AVERAGE(E581:E592)</f>
        <v>288.81345865879746</v>
      </c>
    </row>
    <row r="1110" spans="1:5" ht="15">
      <c r="A1110" s="3">
        <f t="shared" si="0"/>
        <v>2062</v>
      </c>
      <c r="B1110" s="4">
        <f t="shared" ref="B1110:E1129" ca="1" si="1">AVERAGE(OFFSET(B$593,($A1110-$A$1110)*12,0,12,1))</f>
        <v>43.608966666666667</v>
      </c>
      <c r="C1110" s="4">
        <f t="shared" ca="1" si="1"/>
        <v>43.245683333333325</v>
      </c>
      <c r="D1110" s="4">
        <f t="shared" ca="1" si="1"/>
        <v>60.933924999999995</v>
      </c>
      <c r="E1110" s="4">
        <f t="shared" ca="1" si="1"/>
        <v>293.93065031032899</v>
      </c>
    </row>
    <row r="1111" spans="1:5" ht="15">
      <c r="A1111" s="3">
        <f t="shared" si="0"/>
        <v>2063</v>
      </c>
      <c r="B1111" s="4">
        <f t="shared" ca="1" si="1"/>
        <v>44.282125000000001</v>
      </c>
      <c r="C1111" s="4">
        <f t="shared" ca="1" si="1"/>
        <v>43.918833333333332</v>
      </c>
      <c r="D1111" s="4">
        <f t="shared" ca="1" si="1"/>
        <v>61.977766666666668</v>
      </c>
      <c r="E1111" s="4">
        <f t="shared" ca="1" si="1"/>
        <v>299.13850893050079</v>
      </c>
    </row>
    <row r="1112" spans="1:5" ht="15">
      <c r="A1112" s="3">
        <f t="shared" si="0"/>
        <v>2064</v>
      </c>
      <c r="B1112" s="4">
        <f t="shared" ca="1" si="1"/>
        <v>44.96586666666667</v>
      </c>
      <c r="C1112" s="4">
        <f t="shared" ca="1" si="1"/>
        <v>44.602600000000002</v>
      </c>
      <c r="D1112" s="4">
        <f t="shared" ca="1" si="1"/>
        <v>63.040066666666668</v>
      </c>
      <c r="E1112" s="4">
        <f t="shared" ca="1" si="1"/>
        <v>304.43864096670887</v>
      </c>
    </row>
    <row r="1113" spans="1:5" ht="15">
      <c r="A1113" s="3">
        <f t="shared" si="0"/>
        <v>2065</v>
      </c>
      <c r="B1113" s="4">
        <f t="shared" ca="1" si="1"/>
        <v>45.660358333333335</v>
      </c>
      <c r="C1113" s="4">
        <f t="shared" ca="1" si="1"/>
        <v>45.2971</v>
      </c>
      <c r="D1113" s="4">
        <f t="shared" ca="1" si="1"/>
        <v>64.121116666666651</v>
      </c>
      <c r="E1113" s="4">
        <f t="shared" ca="1" si="1"/>
        <v>309.83268132956192</v>
      </c>
    </row>
    <row r="1114" spans="1:5" ht="15">
      <c r="A1114" s="3">
        <f t="shared" si="0"/>
        <v>2066</v>
      </c>
      <c r="B1114" s="4">
        <f t="shared" ca="1" si="1"/>
        <v>46.365783333333326</v>
      </c>
      <c r="C1114" s="4">
        <f t="shared" ca="1" si="1"/>
        <v>46.002508333333338</v>
      </c>
      <c r="D1114" s="4">
        <f t="shared" ca="1" si="1"/>
        <v>65.221249999999998</v>
      </c>
      <c r="E1114" s="4">
        <f t="shared" ca="1" si="1"/>
        <v>315.32229389719578</v>
      </c>
    </row>
    <row r="1115" spans="1:5" ht="15">
      <c r="A1115" s="3">
        <f t="shared" si="0"/>
        <v>2067</v>
      </c>
      <c r="B1115" s="4">
        <f t="shared" ca="1" si="1"/>
        <v>47.082275000000003</v>
      </c>
      <c r="C1115" s="4">
        <f t="shared" ca="1" si="1"/>
        <v>46.718991666666675</v>
      </c>
      <c r="D1115" s="4">
        <f t="shared" ca="1" si="1"/>
        <v>66.34086666666667</v>
      </c>
      <c r="E1115" s="4">
        <f t="shared" ca="1" si="1"/>
        <v>320.9091720285241</v>
      </c>
    </row>
    <row r="1116" spans="1:5" ht="15">
      <c r="A1116" s="3">
        <f t="shared" si="0"/>
        <v>2068</v>
      </c>
      <c r="B1116" s="4">
        <f t="shared" ca="1" si="1"/>
        <v>47.810066666666671</v>
      </c>
      <c r="C1116" s="4">
        <f t="shared" ca="1" si="1"/>
        <v>47.446775000000002</v>
      </c>
      <c r="D1116" s="4">
        <f t="shared" ca="1" si="1"/>
        <v>67.480225000000004</v>
      </c>
      <c r="E1116" s="4">
        <f t="shared" ca="1" si="1"/>
        <v>326.59503908558037</v>
      </c>
    </row>
    <row r="1117" spans="1:5" ht="15">
      <c r="A1117" s="3">
        <f t="shared" si="0"/>
        <v>2069</v>
      </c>
      <c r="B1117" s="4">
        <f t="shared" ca="1" si="1"/>
        <v>48.549274999999994</v>
      </c>
      <c r="C1117" s="4">
        <f t="shared" ca="1" si="1"/>
        <v>48.185991666666666</v>
      </c>
      <c r="D1117" s="4">
        <f t="shared" ca="1" si="1"/>
        <v>68.639733333333325</v>
      </c>
      <c r="E1117" s="4">
        <f t="shared" ca="1" si="1"/>
        <v>332.38164896511876</v>
      </c>
    </row>
    <row r="1118" spans="1:5" ht="15">
      <c r="A1118" s="3">
        <f t="shared" ref="A1118:A1148" si="2">A1117+1</f>
        <v>2070</v>
      </c>
      <c r="B1118" s="4">
        <f t="shared" ca="1" si="1"/>
        <v>49.300125000000001</v>
      </c>
      <c r="C1118" s="4">
        <f t="shared" ca="1" si="1"/>
        <v>48.936849999999993</v>
      </c>
      <c r="D1118" s="4">
        <f t="shared" ca="1" si="1"/>
        <v>69.819725000000005</v>
      </c>
      <c r="E1118" s="4">
        <f t="shared" ca="1" si="1"/>
        <v>338.27078663962919</v>
      </c>
    </row>
    <row r="1119" spans="1:5" ht="15">
      <c r="A1119" s="3">
        <f t="shared" si="2"/>
        <v>2071</v>
      </c>
      <c r="B1119" s="4">
        <f t="shared" ca="1" si="1"/>
        <v>50.062775000000009</v>
      </c>
      <c r="C1119" s="4">
        <f t="shared" ca="1" si="1"/>
        <v>49.69949166666666</v>
      </c>
      <c r="D1119" s="4">
        <f t="shared" ca="1" si="1"/>
        <v>71.020558333333341</v>
      </c>
      <c r="E1119" s="4">
        <f t="shared" ca="1" si="1"/>
        <v>344.26426870794285</v>
      </c>
    </row>
    <row r="1120" spans="1:5" ht="15">
      <c r="A1120" s="3">
        <f t="shared" si="2"/>
        <v>2072</v>
      </c>
      <c r="B1120" s="4">
        <f t="shared" ca="1" si="1"/>
        <v>50.837424999999996</v>
      </c>
      <c r="C1120" s="4">
        <f t="shared" ca="1" si="1"/>
        <v>50.474150000000002</v>
      </c>
      <c r="D1120" s="4">
        <f t="shared" ca="1" si="1"/>
        <v>72.24262499999999</v>
      </c>
      <c r="E1120" s="4">
        <f t="shared" ca="1" si="1"/>
        <v>350.36394395559006</v>
      </c>
    </row>
    <row r="1121" spans="1:5" ht="15">
      <c r="A1121" s="3">
        <f t="shared" si="2"/>
        <v>2073</v>
      </c>
      <c r="B1121" s="4">
        <f t="shared" ca="1" si="1"/>
        <v>51.624250000000011</v>
      </c>
      <c r="C1121" s="4">
        <f t="shared" ca="1" si="1"/>
        <v>51.260966666666668</v>
      </c>
      <c r="D1121" s="4">
        <f t="shared" ca="1" si="1"/>
        <v>73.486266666666666</v>
      </c>
      <c r="E1121" s="4">
        <f t="shared" ca="1" si="1"/>
        <v>356.57169392508769</v>
      </c>
    </row>
    <row r="1122" spans="1:5" ht="15">
      <c r="A1122" s="3">
        <f t="shared" si="2"/>
        <v>2074</v>
      </c>
      <c r="B1122" s="4">
        <f t="shared" ca="1" si="1"/>
        <v>52.423441666666669</v>
      </c>
      <c r="C1122" s="4">
        <f t="shared" ca="1" si="1"/>
        <v>52.06015</v>
      </c>
      <c r="D1122" s="4">
        <f t="shared" ca="1" si="1"/>
        <v>74.751891666666651</v>
      </c>
      <c r="E1122" s="4">
        <f t="shared" ca="1" si="1"/>
        <v>362.88943349633172</v>
      </c>
    </row>
    <row r="1123" spans="1:5" ht="15">
      <c r="A1123" s="3">
        <f t="shared" si="2"/>
        <v>2075</v>
      </c>
      <c r="B1123" s="4">
        <f t="shared" ca="1" si="1"/>
        <v>53.235216666666666</v>
      </c>
      <c r="C1123" s="4">
        <f t="shared" ca="1" si="1"/>
        <v>52.871933333333338</v>
      </c>
      <c r="D1123" s="4">
        <f t="shared" ca="1" si="1"/>
        <v>76.039875000000009</v>
      </c>
      <c r="E1123" s="4">
        <f t="shared" ca="1" si="1"/>
        <v>369.31911147727209</v>
      </c>
    </row>
    <row r="1124" spans="1:5" ht="15">
      <c r="A1124" s="3">
        <f t="shared" si="2"/>
        <v>2076</v>
      </c>
      <c r="B1124" s="4">
        <f t="shared" ca="1" si="1"/>
        <v>54.059724999999993</v>
      </c>
      <c r="C1124" s="4">
        <f t="shared" ca="1" si="1"/>
        <v>53.696450000000006</v>
      </c>
      <c r="D1124" s="4">
        <f t="shared" ca="1" si="1"/>
        <v>77.350608333333327</v>
      </c>
      <c r="E1124" s="4">
        <f t="shared" ca="1" si="1"/>
        <v>375.86271120505415</v>
      </c>
    </row>
    <row r="1125" spans="1:5" ht="15">
      <c r="A1125" s="3">
        <f t="shared" si="2"/>
        <v>2077</v>
      </c>
      <c r="B1125" s="4">
        <f t="shared" ca="1" si="1"/>
        <v>54.897233333333325</v>
      </c>
      <c r="C1125" s="4">
        <f t="shared" ca="1" si="1"/>
        <v>54.533949999999997</v>
      </c>
      <c r="D1125" s="4">
        <f t="shared" ca="1" si="1"/>
        <v>78.684516666666667</v>
      </c>
      <c r="E1125" s="4">
        <f t="shared" ca="1" si="1"/>
        <v>382.52225115780999</v>
      </c>
    </row>
    <row r="1126" spans="1:5" ht="15">
      <c r="A1126" s="3">
        <f t="shared" si="2"/>
        <v>2078</v>
      </c>
      <c r="B1126" s="4">
        <f t="shared" ca="1" si="1"/>
        <v>55.747883333333334</v>
      </c>
      <c r="C1126" s="4">
        <f t="shared" ca="1" si="1"/>
        <v>55.384608333333325</v>
      </c>
      <c r="D1126" s="4">
        <f t="shared" ca="1" si="1"/>
        <v>80.041991666666675</v>
      </c>
      <c r="E1126" s="4">
        <f t="shared" ca="1" si="1"/>
        <v>389.29978557729191</v>
      </c>
    </row>
    <row r="1127" spans="1:5" ht="15">
      <c r="A1127" s="3">
        <f t="shared" si="2"/>
        <v>2079</v>
      </c>
      <c r="B1127" s="4">
        <f t="shared" ca="1" si="1"/>
        <v>56.611925000000014</v>
      </c>
      <c r="C1127" s="4">
        <f t="shared" ca="1" si="1"/>
        <v>56.248650000000005</v>
      </c>
      <c r="D1127" s="4">
        <f t="shared" ca="1" si="1"/>
        <v>81.423416666666668</v>
      </c>
      <c r="E1127" s="4">
        <f t="shared" ca="1" si="1"/>
        <v>396.19740510253411</v>
      </c>
    </row>
    <row r="1128" spans="1:5" ht="15">
      <c r="A1128" s="3">
        <f t="shared" si="2"/>
        <v>2080</v>
      </c>
      <c r="B1128" s="4">
        <f t="shared" ca="1" si="1"/>
        <v>57.489566666666668</v>
      </c>
      <c r="C1128" s="4">
        <f t="shared" ca="1" si="1"/>
        <v>57.126291666666667</v>
      </c>
      <c r="D1128" s="4">
        <f t="shared" ca="1" si="1"/>
        <v>82.829283333333322</v>
      </c>
      <c r="E1128" s="4">
        <f t="shared" ca="1" si="1"/>
        <v>403.2172374147454</v>
      </c>
    </row>
    <row r="1129" spans="1:5" ht="15">
      <c r="A1129" s="3">
        <f t="shared" si="2"/>
        <v>2081</v>
      </c>
      <c r="B1129" s="4">
        <f t="shared" ca="1" si="1"/>
        <v>58.380991666666652</v>
      </c>
      <c r="C1129" s="4">
        <f t="shared" ca="1" si="1"/>
        <v>58.017699999999998</v>
      </c>
      <c r="D1129" s="4">
        <f t="shared" ca="1" si="1"/>
        <v>84.259991666666664</v>
      </c>
      <c r="E1129" s="4">
        <f t="shared" ca="1" si="1"/>
        <v>410.36144789362584</v>
      </c>
    </row>
    <row r="1130" spans="1:5" ht="15">
      <c r="A1130" s="3">
        <f t="shared" si="2"/>
        <v>2082</v>
      </c>
      <c r="B1130" s="4">
        <f t="shared" ref="B1130:E1148" ca="1" si="3">AVERAGE(OFFSET(B$593,($A1130-$A$1110)*12,0,12,1))</f>
        <v>59.286433333333328</v>
      </c>
      <c r="C1130" s="4">
        <f t="shared" ca="1" si="3"/>
        <v>58.923174999999993</v>
      </c>
      <c r="D1130" s="4">
        <f t="shared" ca="1" si="3"/>
        <v>85.715958333333333</v>
      </c>
      <c r="E1130" s="4">
        <f t="shared" ca="1" si="3"/>
        <v>417.63224028531278</v>
      </c>
    </row>
    <row r="1131" spans="1:5" ht="15">
      <c r="A1131" s="3">
        <f t="shared" si="2"/>
        <v>2083</v>
      </c>
      <c r="B1131" s="4">
        <f t="shared" ca="1" si="3"/>
        <v>60.206125000000007</v>
      </c>
      <c r="C1131" s="4">
        <f t="shared" ca="1" si="3"/>
        <v>59.842841666666665</v>
      </c>
      <c r="D1131" s="4">
        <f t="shared" ca="1" si="3"/>
        <v>87.19765000000001</v>
      </c>
      <c r="E1131" s="4">
        <f t="shared" ca="1" si="3"/>
        <v>425.03185738216206</v>
      </c>
    </row>
    <row r="1132" spans="1:5" ht="15">
      <c r="A1132" s="3">
        <f t="shared" si="2"/>
        <v>2084</v>
      </c>
      <c r="B1132" s="4">
        <f t="shared" ca="1" si="3"/>
        <v>61.140266666666669</v>
      </c>
      <c r="C1132" s="4">
        <f t="shared" ca="1" si="3"/>
        <v>60.776975000000014</v>
      </c>
      <c r="D1132" s="4">
        <f t="shared" ca="1" si="3"/>
        <v>88.705550000000002</v>
      </c>
      <c r="E1132" s="4">
        <f t="shared" ca="1" si="3"/>
        <v>432.56258171457301</v>
      </c>
    </row>
    <row r="1133" spans="1:5" ht="15">
      <c r="A1133" s="3">
        <f t="shared" si="2"/>
        <v>2085</v>
      </c>
      <c r="B1133" s="4">
        <f t="shared" ca="1" si="3"/>
        <v>62.089116666666655</v>
      </c>
      <c r="C1133" s="4">
        <f t="shared" ca="1" si="3"/>
        <v>61.725833333333327</v>
      </c>
      <c r="D1133" s="4">
        <f t="shared" ca="1" si="3"/>
        <v>90.240049999999997</v>
      </c>
      <c r="E1133" s="4">
        <f t="shared" ca="1" si="3"/>
        <v>440.22673625507105</v>
      </c>
    </row>
    <row r="1134" spans="1:5" ht="15">
      <c r="A1134" s="3">
        <f t="shared" si="2"/>
        <v>2086</v>
      </c>
      <c r="B1134" s="4">
        <f t="shared" ca="1" si="3"/>
        <v>63.05285833333334</v>
      </c>
      <c r="C1134" s="4">
        <f t="shared" ca="1" si="3"/>
        <v>62.689591666666651</v>
      </c>
      <c r="D1134" s="4">
        <f t="shared" ca="1" si="3"/>
        <v>91.801683333333315</v>
      </c>
      <c r="E1134" s="4">
        <f t="shared" ca="1" si="3"/>
        <v>448.02668513486674</v>
      </c>
    </row>
    <row r="1135" spans="1:5" ht="15">
      <c r="A1135" s="3">
        <f t="shared" si="2"/>
        <v>2087</v>
      </c>
      <c r="B1135" s="4">
        <f t="shared" ca="1" si="3"/>
        <v>64.031774999999996</v>
      </c>
      <c r="C1135" s="4">
        <f t="shared" ca="1" si="3"/>
        <v>63.668499999999987</v>
      </c>
      <c r="D1135" s="4">
        <f t="shared" ca="1" si="3"/>
        <v>93.390908333333314</v>
      </c>
      <c r="E1135" s="4">
        <f t="shared" ca="1" si="3"/>
        <v>455.96483437310877</v>
      </c>
    </row>
    <row r="1136" spans="1:5" ht="15">
      <c r="A1136" s="3">
        <f t="shared" si="2"/>
        <v>2088</v>
      </c>
      <c r="B1136" s="4">
        <f t="shared" ca="1" si="3"/>
        <v>65.026075000000006</v>
      </c>
      <c r="C1136" s="4">
        <f t="shared" ca="1" si="3"/>
        <v>64.662825000000012</v>
      </c>
      <c r="D1136" s="4">
        <f t="shared" ca="1" si="3"/>
        <v>95.008208333333343</v>
      </c>
      <c r="E1136" s="4">
        <f t="shared" ca="1" si="3"/>
        <v>464.04363261906013</v>
      </c>
    </row>
    <row r="1137" spans="1:5" ht="15">
      <c r="A1137" s="3">
        <f t="shared" si="2"/>
        <v>2089</v>
      </c>
      <c r="B1137" s="4">
        <f t="shared" ca="1" si="3"/>
        <v>66.036024999999981</v>
      </c>
      <c r="C1137" s="4">
        <f t="shared" ca="1" si="3"/>
        <v>65.672733333333326</v>
      </c>
      <c r="D1137" s="4">
        <f t="shared" ca="1" si="3"/>
        <v>96.654083333333347</v>
      </c>
      <c r="E1137" s="4">
        <f t="shared" ca="1" si="3"/>
        <v>472.26557190742272</v>
      </c>
    </row>
    <row r="1138" spans="1:5" ht="15">
      <c r="A1138" s="3">
        <f t="shared" si="2"/>
        <v>2090</v>
      </c>
      <c r="B1138" s="4">
        <f t="shared" ca="1" si="3"/>
        <v>67.061858333333333</v>
      </c>
      <c r="C1138" s="4">
        <f t="shared" ca="1" si="3"/>
        <v>66.69856666666665</v>
      </c>
      <c r="D1138" s="4">
        <f t="shared" ca="1" si="3"/>
        <v>98.329049999999995</v>
      </c>
      <c r="E1138" s="4">
        <f t="shared" ca="1" si="3"/>
        <v>480.63318842704484</v>
      </c>
    </row>
    <row r="1139" spans="1:5" ht="15">
      <c r="A1139" s="3">
        <f t="shared" si="2"/>
        <v>2091</v>
      </c>
      <c r="B1139" s="4">
        <f t="shared" ca="1" si="3"/>
        <v>68.103808333333333</v>
      </c>
      <c r="C1139" s="4">
        <f t="shared" ca="1" si="3"/>
        <v>67.740516666666664</v>
      </c>
      <c r="D1139" s="4">
        <f t="shared" ca="1" si="3"/>
        <v>100.033575</v>
      </c>
      <c r="E1139" s="4">
        <f t="shared" ca="1" si="3"/>
        <v>489.1490633032509</v>
      </c>
    </row>
    <row r="1140" spans="1:5" ht="15">
      <c r="A1140" s="3">
        <f t="shared" si="2"/>
        <v>2092</v>
      </c>
      <c r="B1140" s="4">
        <f t="shared" ca="1" si="3"/>
        <v>69.16213333333333</v>
      </c>
      <c r="C1140" s="4">
        <f t="shared" ca="1" si="3"/>
        <v>68.798841666666661</v>
      </c>
      <c r="D1140" s="4">
        <f t="shared" ca="1" si="3"/>
        <v>101.76825833333332</v>
      </c>
      <c r="E1140" s="4">
        <f t="shared" ca="1" si="3"/>
        <v>497.81582339402871</v>
      </c>
    </row>
    <row r="1141" spans="1:5" ht="15">
      <c r="A1141" s="3">
        <f t="shared" si="2"/>
        <v>2093</v>
      </c>
      <c r="B1141" s="4">
        <f t="shared" ca="1" si="3"/>
        <v>70.237124999999992</v>
      </c>
      <c r="C1141" s="4">
        <f t="shared" ca="1" si="3"/>
        <v>69.87384166666665</v>
      </c>
      <c r="D1141" s="4">
        <f t="shared" ca="1" si="3"/>
        <v>103.533575</v>
      </c>
      <c r="E1141" s="4">
        <f t="shared" ca="1" si="3"/>
        <v>506.63614210032733</v>
      </c>
    </row>
    <row r="1142" spans="1:5" ht="15">
      <c r="A1142" s="3">
        <f t="shared" si="2"/>
        <v>2094</v>
      </c>
      <c r="B1142" s="4">
        <f t="shared" ca="1" si="3"/>
        <v>71.328983333333341</v>
      </c>
      <c r="C1142" s="4">
        <f t="shared" ca="1" si="3"/>
        <v>70.965708333333339</v>
      </c>
      <c r="D1142" s="4">
        <f t="shared" ca="1" si="3"/>
        <v>105.33007499999998</v>
      </c>
      <c r="E1142" s="4">
        <f t="shared" ca="1" si="3"/>
        <v>515.61274019071038</v>
      </c>
    </row>
    <row r="1143" spans="1:5" ht="15">
      <c r="A1143" s="3">
        <f t="shared" si="2"/>
        <v>2095</v>
      </c>
      <c r="B1143" s="4">
        <f t="shared" ca="1" si="3"/>
        <v>72.438058333333331</v>
      </c>
      <c r="C1143" s="4">
        <f t="shared" ca="1" si="3"/>
        <v>72.074774999999974</v>
      </c>
      <c r="D1143" s="4">
        <f t="shared" ca="1" si="3"/>
        <v>107.158325</v>
      </c>
      <c r="E1143" s="4">
        <f t="shared" ca="1" si="3"/>
        <v>524.74838664061951</v>
      </c>
    </row>
    <row r="1144" spans="1:5" ht="15">
      <c r="A1144" s="3">
        <f t="shared" si="2"/>
        <v>2096</v>
      </c>
      <c r="B1144" s="4">
        <f t="shared" ca="1" si="3"/>
        <v>73.56454166666667</v>
      </c>
      <c r="C1144" s="4">
        <f t="shared" ca="1" si="3"/>
        <v>73.201274999999995</v>
      </c>
      <c r="D1144" s="4">
        <f t="shared" ca="1" si="3"/>
        <v>109.01885833333334</v>
      </c>
      <c r="E1144" s="4">
        <f t="shared" ca="1" si="3"/>
        <v>534.04589948651096</v>
      </c>
    </row>
    <row r="1145" spans="1:5" ht="15">
      <c r="A1145" s="3">
        <f t="shared" si="2"/>
        <v>2097</v>
      </c>
      <c r="B1145" s="4">
        <f t="shared" ca="1" si="3"/>
        <v>74.708758333333336</v>
      </c>
      <c r="C1145" s="4">
        <f t="shared" ca="1" si="3"/>
        <v>74.345466666666653</v>
      </c>
      <c r="D1145" s="4">
        <f t="shared" ca="1" si="3"/>
        <v>110.91228333333333</v>
      </c>
      <c r="E1145" s="4">
        <f t="shared" ca="1" si="3"/>
        <v>543.50814669512272</v>
      </c>
    </row>
    <row r="1146" spans="1:5" ht="15">
      <c r="A1146" s="3">
        <f t="shared" si="2"/>
        <v>2098</v>
      </c>
      <c r="B1146" s="4">
        <f t="shared" ca="1" si="3"/>
        <v>75.870941666666653</v>
      </c>
      <c r="C1146" s="4">
        <f t="shared" ca="1" si="3"/>
        <v>75.507674999999992</v>
      </c>
      <c r="D1146" s="4">
        <f t="shared" ca="1" si="3"/>
        <v>112.83917500000001</v>
      </c>
      <c r="E1146" s="4">
        <f t="shared" ca="1" si="3"/>
        <v>553.13804704814459</v>
      </c>
    </row>
    <row r="1147" spans="1:5" ht="15">
      <c r="A1147" s="3">
        <f t="shared" si="2"/>
        <v>2099</v>
      </c>
      <c r="B1147" s="4">
        <f t="shared" ca="1" si="3"/>
        <v>77.051433333333321</v>
      </c>
      <c r="C1147" s="4">
        <f t="shared" ca="1" si="3"/>
        <v>76.688133333333326</v>
      </c>
      <c r="D1147" s="4">
        <f t="shared" ca="1" si="3"/>
        <v>114.80009999999999</v>
      </c>
      <c r="E1147" s="4">
        <f t="shared" ca="1" si="3"/>
        <v>562.93857104256506</v>
      </c>
    </row>
    <row r="1148" spans="1:5" ht="15">
      <c r="A1148" s="3">
        <f t="shared" si="2"/>
        <v>2100</v>
      </c>
      <c r="B1148" s="4">
        <f t="shared" ca="1" si="3"/>
        <v>78.250458333333313</v>
      </c>
      <c r="C1148" s="4">
        <f t="shared" ca="1" si="3"/>
        <v>77.887174999999999</v>
      </c>
      <c r="D1148" s="4">
        <f t="shared" ca="1" si="3"/>
        <v>116.79564999999998</v>
      </c>
      <c r="E1148" s="4">
        <f t="shared" ca="1" si="3"/>
        <v>572.91274180696644</v>
      </c>
    </row>
    <row r="1149" spans="1:5">
      <c r="A1149" s="36"/>
    </row>
    <row r="1150" spans="1:5">
      <c r="A1150" s="36"/>
    </row>
    <row r="1151" spans="1:5">
      <c r="A1151" s="36"/>
    </row>
    <row r="1152" spans="1:5">
      <c r="A1152" s="36"/>
    </row>
    <row r="1153" spans="1:1">
      <c r="A1153" s="36"/>
    </row>
    <row r="1154" spans="1:1">
      <c r="A1154" s="36"/>
    </row>
    <row r="1155" spans="1:1">
      <c r="A1155" s="36"/>
    </row>
    <row r="1156" spans="1:1">
      <c r="A1156" s="36"/>
    </row>
    <row r="1157" spans="1:1">
      <c r="A1157" s="36"/>
    </row>
    <row r="1158" spans="1:1">
      <c r="A1158" s="36"/>
    </row>
    <row r="1159" spans="1:1">
      <c r="A1159" s="36"/>
    </row>
    <row r="1160" spans="1:1">
      <c r="A1160" s="36"/>
    </row>
    <row r="1161" spans="1:1">
      <c r="A1161" s="36"/>
    </row>
    <row r="1162" spans="1:1">
      <c r="A1162" s="36"/>
    </row>
    <row r="1163" spans="1:1">
      <c r="A1163" s="36"/>
    </row>
    <row r="1164" spans="1:1">
      <c r="A1164" s="36"/>
    </row>
    <row r="1165" spans="1:1">
      <c r="A1165" s="36"/>
    </row>
    <row r="1166" spans="1:1">
      <c r="A1166" s="36"/>
    </row>
    <row r="1167" spans="1:1">
      <c r="A1167" s="36"/>
    </row>
    <row r="1168" spans="1:1">
      <c r="A1168" s="36"/>
    </row>
  </sheetData>
  <mergeCells count="1">
    <mergeCell ref="B14:C14"/>
  </mergeCells>
  <pageMargins left="0.25" right="0.25" top="0.5" bottom="0.5" header="0.25" footer="0.25"/>
  <pageSetup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48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14.5546875" style="36" customWidth="1"/>
    <col min="2" max="2" width="19" style="36" customWidth="1"/>
    <col min="3" max="3" width="16.109375" style="36" customWidth="1"/>
    <col min="4" max="4" width="20.21875" style="36" customWidth="1"/>
    <col min="5" max="5" width="20.6640625" style="36" customWidth="1"/>
    <col min="6" max="6" width="16.109375" style="36" customWidth="1"/>
    <col min="7" max="9" width="20" style="36" customWidth="1"/>
    <col min="10" max="11" width="19.109375" style="36" customWidth="1"/>
    <col min="12" max="12" width="16.109375" style="36" customWidth="1"/>
    <col min="13" max="15" width="17.6640625" style="36" customWidth="1"/>
    <col min="16" max="16384" width="7.109375" style="36"/>
  </cols>
  <sheetData>
    <row r="1" spans="1:15" ht="15.75">
      <c r="A1" s="88" t="s">
        <v>64</v>
      </c>
    </row>
    <row r="2" spans="1:15" ht="15.75">
      <c r="A2" s="88" t="s">
        <v>65</v>
      </c>
    </row>
    <row r="3" spans="1:15" ht="15.75">
      <c r="A3" s="88" t="s">
        <v>66</v>
      </c>
    </row>
    <row r="4" spans="1:15" ht="15.75">
      <c r="A4" s="88" t="s">
        <v>67</v>
      </c>
    </row>
    <row r="5" spans="1:15" ht="15.75">
      <c r="A5" s="88" t="s">
        <v>73</v>
      </c>
    </row>
    <row r="6" spans="1:15" ht="15.75">
      <c r="A6" s="88" t="s">
        <v>69</v>
      </c>
    </row>
    <row r="9" spans="1:15" ht="15" customHeight="1">
      <c r="A9" s="78" t="s">
        <v>25</v>
      </c>
    </row>
    <row r="10" spans="1:15" ht="15" customHeight="1">
      <c r="A10" s="79"/>
    </row>
    <row r="11" spans="1:15" ht="15" customHeight="1">
      <c r="A11" s="79"/>
    </row>
    <row r="12" spans="1:15" ht="15" customHeight="1">
      <c r="B12" s="78"/>
      <c r="H12" s="75" t="s">
        <v>51</v>
      </c>
    </row>
    <row r="13" spans="1:15" ht="15" customHeight="1">
      <c r="A13" s="78"/>
      <c r="B13" s="77" t="s">
        <v>24</v>
      </c>
      <c r="C13" s="76">
        <f>1-0.149</f>
        <v>0.85099999999999998</v>
      </c>
      <c r="D13" s="77" t="s">
        <v>23</v>
      </c>
      <c r="E13" s="76">
        <f>1+0.149</f>
        <v>1.149</v>
      </c>
      <c r="H13" s="75"/>
      <c r="L13" s="93"/>
      <c r="M13" s="93"/>
      <c r="N13" s="93"/>
      <c r="O13" s="93"/>
    </row>
    <row r="14" spans="1:15" ht="15" customHeight="1">
      <c r="B14" s="92" t="s">
        <v>50</v>
      </c>
      <c r="C14" s="92"/>
      <c r="D14" s="92"/>
      <c r="E14" s="94" t="s">
        <v>49</v>
      </c>
      <c r="F14" s="94"/>
      <c r="G14" s="95"/>
      <c r="H14" s="96" t="s">
        <v>48</v>
      </c>
      <c r="I14" s="96"/>
      <c r="J14" s="95" t="s">
        <v>47</v>
      </c>
      <c r="K14" s="95"/>
      <c r="L14" s="93"/>
      <c r="M14" s="93"/>
      <c r="N14" s="93"/>
      <c r="O14" s="93"/>
    </row>
    <row r="15" spans="1:15" ht="63">
      <c r="B15" s="74" t="s">
        <v>46</v>
      </c>
      <c r="C15" s="73" t="s">
        <v>45</v>
      </c>
      <c r="D15" s="72" t="s">
        <v>44</v>
      </c>
      <c r="E15" s="74" t="s">
        <v>46</v>
      </c>
      <c r="F15" s="73" t="s">
        <v>45</v>
      </c>
      <c r="G15" s="72" t="s">
        <v>44</v>
      </c>
      <c r="H15" s="73" t="s">
        <v>45</v>
      </c>
      <c r="I15" s="72" t="s">
        <v>44</v>
      </c>
      <c r="J15" s="73" t="s">
        <v>45</v>
      </c>
      <c r="K15" s="72" t="s">
        <v>44</v>
      </c>
      <c r="L15" s="64"/>
      <c r="M15" s="71"/>
      <c r="N15" s="71"/>
      <c r="O15" s="71"/>
    </row>
    <row r="16" spans="1:15" ht="20.25">
      <c r="A16" s="28" t="s">
        <v>2</v>
      </c>
      <c r="B16" s="70" t="s">
        <v>1</v>
      </c>
      <c r="C16" s="70" t="s">
        <v>1</v>
      </c>
      <c r="D16" s="70" t="s">
        <v>1</v>
      </c>
      <c r="E16" s="70" t="s">
        <v>1</v>
      </c>
      <c r="F16" s="70" t="s">
        <v>1</v>
      </c>
      <c r="G16" s="70" t="s">
        <v>1</v>
      </c>
      <c r="H16" s="70" t="s">
        <v>1</v>
      </c>
      <c r="I16" s="70" t="s">
        <v>1</v>
      </c>
      <c r="J16" s="70" t="s">
        <v>1</v>
      </c>
      <c r="K16" s="70" t="s">
        <v>1</v>
      </c>
      <c r="L16" s="69"/>
      <c r="M16" s="69"/>
      <c r="N16" s="69"/>
      <c r="O16" s="69"/>
    </row>
    <row r="17" spans="1:14" ht="15">
      <c r="A17" s="13">
        <v>41640</v>
      </c>
      <c r="B17" s="67">
        <f>2.3642 * CHOOSE(CONTROL!$C$22, $C$13, 100%, $E$13)</f>
        <v>2.3641999999999999</v>
      </c>
      <c r="C17" s="67">
        <f>2.3216 * CHOOSE(CONTROL!$C$22, $C$13, 100%, $E$13)</f>
        <v>2.3216000000000001</v>
      </c>
      <c r="D17" s="67">
        <f>2.3255 * CHOOSE(CONTROL!$C$22, $C$13, 100%, $E$13)</f>
        <v>2.3254999999999999</v>
      </c>
      <c r="E17" s="68">
        <f>3.382 * CHOOSE(CONTROL!$C$22, $C$13, 100%, $E$13)</f>
        <v>3.3820000000000001</v>
      </c>
      <c r="F17" s="68">
        <f>3.561 * CHOOSE(CONTROL!$C$22, $C$13, 100%, $E$13)</f>
        <v>3.5609999999999999</v>
      </c>
      <c r="G17" s="68">
        <f>3.5716 * CHOOSE(CONTROL!$C$22, $C$13, 100%, $E$13)</f>
        <v>3.5716000000000001</v>
      </c>
      <c r="H17" s="68">
        <f>5.9* CHOOSE(CONTROL!$C$22, $C$13, 100%, $E$13)</f>
        <v>5.9</v>
      </c>
      <c r="I17" s="68">
        <f>5.9106 * CHOOSE(CONTROL!$C$22, $C$13, 100%, $E$13)</f>
        <v>5.9105999999999996</v>
      </c>
      <c r="J17" s="68">
        <f>3.382 * CHOOSE(CONTROL!$C$22, $C$13, 100%, $E$13)</f>
        <v>3.3820000000000001</v>
      </c>
      <c r="K17" s="68">
        <f>3.3926 * CHOOSE(CONTROL!$C$22, $C$13, 100%, $E$13)</f>
        <v>3.3925999999999998</v>
      </c>
      <c r="L17" s="4"/>
      <c r="M17" s="68"/>
      <c r="N17" s="68"/>
    </row>
    <row r="18" spans="1:14" ht="15">
      <c r="A18" s="13">
        <v>41671</v>
      </c>
      <c r="B18" s="67">
        <f>2.3685 * CHOOSE(CONTROL!$C$22, $C$13, 100%, $E$13)</f>
        <v>2.3685</v>
      </c>
      <c r="C18" s="67">
        <f>2.329 * CHOOSE(CONTROL!$C$22, $C$13, 100%, $E$13)</f>
        <v>2.3290000000000002</v>
      </c>
      <c r="D18" s="67">
        <f>2.3329 * CHOOSE(CONTROL!$C$22, $C$13, 100%, $E$13)</f>
        <v>2.3329</v>
      </c>
      <c r="E18" s="68">
        <f>3.3397 * CHOOSE(CONTROL!$C$22, $C$13, 100%, $E$13)</f>
        <v>3.3397000000000001</v>
      </c>
      <c r="F18" s="68">
        <f>3.561 * CHOOSE(CONTROL!$C$22, $C$13, 100%, $E$13)</f>
        <v>3.5609999999999999</v>
      </c>
      <c r="G18" s="68">
        <f>3.5716 * CHOOSE(CONTROL!$C$22, $C$13, 100%, $E$13)</f>
        <v>3.5716000000000001</v>
      </c>
      <c r="H18" s="68">
        <f>5.9123* CHOOSE(CONTROL!$C$22, $C$13, 100%, $E$13)</f>
        <v>5.9123000000000001</v>
      </c>
      <c r="I18" s="68">
        <f>5.9229 * CHOOSE(CONTROL!$C$22, $C$13, 100%, $E$13)</f>
        <v>5.9229000000000003</v>
      </c>
      <c r="J18" s="68">
        <f>3.3397 * CHOOSE(CONTROL!$C$22, $C$13, 100%, $E$13)</f>
        <v>3.3397000000000001</v>
      </c>
      <c r="K18" s="68">
        <f>3.3503 * CHOOSE(CONTROL!$C$22, $C$13, 100%, $E$13)</f>
        <v>3.3502999999999998</v>
      </c>
      <c r="L18" s="4"/>
      <c r="M18" s="68"/>
      <c r="N18" s="68"/>
    </row>
    <row r="19" spans="1:14" ht="15">
      <c r="A19" s="13">
        <v>41699</v>
      </c>
      <c r="B19" s="67">
        <f>2.3683 * CHOOSE(CONTROL!$C$22, $C$13, 100%, $E$13)</f>
        <v>2.3683000000000001</v>
      </c>
      <c r="C19" s="67">
        <f>2.3227 * CHOOSE(CONTROL!$C$22, $C$13, 100%, $E$13)</f>
        <v>2.3227000000000002</v>
      </c>
      <c r="D19" s="67">
        <f>2.3266 * CHOOSE(CONTROL!$C$22, $C$13, 100%, $E$13)</f>
        <v>2.3266</v>
      </c>
      <c r="E19" s="68">
        <f>3.3703 * CHOOSE(CONTROL!$C$22, $C$13, 100%, $E$13)</f>
        <v>3.3702999999999999</v>
      </c>
      <c r="F19" s="68">
        <f>3.561 * CHOOSE(CONTROL!$C$22, $C$13, 100%, $E$13)</f>
        <v>3.5609999999999999</v>
      </c>
      <c r="G19" s="68">
        <f>3.5716 * CHOOSE(CONTROL!$C$22, $C$13, 100%, $E$13)</f>
        <v>3.5716000000000001</v>
      </c>
      <c r="H19" s="68">
        <f>5.9246* CHOOSE(CONTROL!$C$22, $C$13, 100%, $E$13)</f>
        <v>5.9245999999999999</v>
      </c>
      <c r="I19" s="68">
        <f>5.9352 * CHOOSE(CONTROL!$C$22, $C$13, 100%, $E$13)</f>
        <v>5.9352</v>
      </c>
      <c r="J19" s="68">
        <f>3.3703 * CHOOSE(CONTROL!$C$22, $C$13, 100%, $E$13)</f>
        <v>3.3702999999999999</v>
      </c>
      <c r="K19" s="68">
        <f>3.3809 * CHOOSE(CONTROL!$C$22, $C$13, 100%, $E$13)</f>
        <v>3.3809</v>
      </c>
      <c r="L19" s="4"/>
      <c r="M19" s="68"/>
      <c r="N19" s="68"/>
    </row>
    <row r="20" spans="1:14" ht="15">
      <c r="A20" s="13">
        <v>41730</v>
      </c>
      <c r="B20" s="67">
        <f>2.4658 * CHOOSE(CONTROL!$C$22, $C$13, 100%, $E$13)</f>
        <v>2.4658000000000002</v>
      </c>
      <c r="C20" s="67">
        <f>2.4194 * CHOOSE(CONTROL!$C$22, $C$13, 100%, $E$13)</f>
        <v>2.4194</v>
      </c>
      <c r="D20" s="67">
        <f>2.4233 * CHOOSE(CONTROL!$C$22, $C$13, 100%, $E$13)</f>
        <v>2.4232999999999998</v>
      </c>
      <c r="E20" s="68">
        <f>3.3266 * CHOOSE(CONTROL!$C$22, $C$13, 100%, $E$13)</f>
        <v>3.3266</v>
      </c>
      <c r="F20" s="68">
        <f>3.561 * CHOOSE(CONTROL!$C$22, $C$13, 100%, $E$13)</f>
        <v>3.5609999999999999</v>
      </c>
      <c r="G20" s="68">
        <f>3.5716 * CHOOSE(CONTROL!$C$22, $C$13, 100%, $E$13)</f>
        <v>3.5716000000000001</v>
      </c>
      <c r="H20" s="68">
        <f>5.937* CHOOSE(CONTROL!$C$22, $C$13, 100%, $E$13)</f>
        <v>5.9370000000000003</v>
      </c>
      <c r="I20" s="68">
        <f>5.9475 * CHOOSE(CONTROL!$C$22, $C$13, 100%, $E$13)</f>
        <v>5.9474999999999998</v>
      </c>
      <c r="J20" s="68">
        <f>3.3266 * CHOOSE(CONTROL!$C$22, $C$13, 100%, $E$13)</f>
        <v>3.3266</v>
      </c>
      <c r="K20" s="68">
        <f>3.3372 * CHOOSE(CONTROL!$C$22, $C$13, 100%, $E$13)</f>
        <v>3.3372000000000002</v>
      </c>
      <c r="L20" s="4"/>
      <c r="M20" s="68"/>
      <c r="N20" s="68"/>
    </row>
    <row r="21" spans="1:14" ht="15">
      <c r="A21" s="13">
        <v>41760</v>
      </c>
      <c r="B21" s="67">
        <f>2.4818 * CHOOSE(CONTROL!$C$22, $C$13, 100%, $E$13)</f>
        <v>2.4817999999999998</v>
      </c>
      <c r="C21" s="67">
        <f>2.4328 * CHOOSE(CONTROL!$C$22, $C$13, 100%, $E$13)</f>
        <v>2.4327999999999999</v>
      </c>
      <c r="D21" s="67">
        <f>2.4383 * CHOOSE(CONTROL!$C$22, $C$13, 100%, $E$13)</f>
        <v>2.4382999999999999</v>
      </c>
      <c r="E21" s="68">
        <f>3.2669 * CHOOSE(CONTROL!$C$22, $C$13, 100%, $E$13)</f>
        <v>3.2669000000000001</v>
      </c>
      <c r="F21" s="68">
        <f>3.282 * CHOOSE(CONTROL!$C$22, $C$13, 100%, $E$13)</f>
        <v>3.282</v>
      </c>
      <c r="G21" s="68">
        <f>3.297 * CHOOSE(CONTROL!$C$22, $C$13, 100%, $E$13)</f>
        <v>3.2970000000000002</v>
      </c>
      <c r="H21" s="68">
        <f>5.9493* CHOOSE(CONTROL!$C$22, $C$13, 100%, $E$13)</f>
        <v>5.9493</v>
      </c>
      <c r="I21" s="68">
        <f>5.9643 * CHOOSE(CONTROL!$C$22, $C$13, 100%, $E$13)</f>
        <v>5.9642999999999997</v>
      </c>
      <c r="J21" s="68">
        <f>3.2669 * CHOOSE(CONTROL!$C$22, $C$13, 100%, $E$13)</f>
        <v>3.2669000000000001</v>
      </c>
      <c r="K21" s="68">
        <f>3.2819 * CHOOSE(CONTROL!$C$22, $C$13, 100%, $E$13)</f>
        <v>3.2818999999999998</v>
      </c>
      <c r="L21" s="4"/>
      <c r="M21" s="68"/>
      <c r="N21" s="68"/>
    </row>
    <row r="22" spans="1:14" ht="15">
      <c r="A22" s="13">
        <v>41791</v>
      </c>
      <c r="B22" s="67">
        <f>2.4881 * CHOOSE(CONTROL!$C$22, $C$13, 100%, $E$13)</f>
        <v>2.4881000000000002</v>
      </c>
      <c r="C22" s="67">
        <f>2.4485 * CHOOSE(CONTROL!$C$22, $C$13, 100%, $E$13)</f>
        <v>2.4485000000000001</v>
      </c>
      <c r="D22" s="67">
        <f>2.454 * CHOOSE(CONTROL!$C$22, $C$13, 100%, $E$13)</f>
        <v>2.4540000000000002</v>
      </c>
      <c r="E22" s="68">
        <f>3.2472 * CHOOSE(CONTROL!$C$22, $C$13, 100%, $E$13)</f>
        <v>3.2471999999999999</v>
      </c>
      <c r="F22" s="68">
        <f>3.561 * CHOOSE(CONTROL!$C$22, $C$13, 100%, $E$13)</f>
        <v>3.5609999999999999</v>
      </c>
      <c r="G22" s="68">
        <f>3.576 * CHOOSE(CONTROL!$C$22, $C$13, 100%, $E$13)</f>
        <v>3.5760000000000001</v>
      </c>
      <c r="H22" s="68">
        <f>5.9617* CHOOSE(CONTROL!$C$22, $C$13, 100%, $E$13)</f>
        <v>5.9617000000000004</v>
      </c>
      <c r="I22" s="68">
        <f>5.9767 * CHOOSE(CONTROL!$C$22, $C$13, 100%, $E$13)</f>
        <v>5.9767000000000001</v>
      </c>
      <c r="J22" s="68">
        <f>3.2472 * CHOOSE(CONTROL!$C$22, $C$13, 100%, $E$13)</f>
        <v>3.2471999999999999</v>
      </c>
      <c r="K22" s="68">
        <f>3.2621 * CHOOSE(CONTROL!$C$22, $C$13, 100%, $E$13)</f>
        <v>3.2621000000000002</v>
      </c>
      <c r="L22" s="4"/>
      <c r="M22" s="68"/>
      <c r="N22" s="68"/>
    </row>
    <row r="23" spans="1:14" ht="15">
      <c r="A23" s="13">
        <v>41821</v>
      </c>
      <c r="B23" s="67">
        <f>2.4092 * CHOOSE(CONTROL!$C$22, $C$13, 100%, $E$13)</f>
        <v>2.4091999999999998</v>
      </c>
      <c r="C23" s="67">
        <f>2.4023 * CHOOSE(CONTROL!$C$22, $C$13, 100%, $E$13)</f>
        <v>2.4022999999999999</v>
      </c>
      <c r="D23" s="67">
        <f>2.4078 * CHOOSE(CONTROL!$C$22, $C$13, 100%, $E$13)</f>
        <v>2.4077999999999999</v>
      </c>
      <c r="E23" s="68">
        <f>3.2484 * CHOOSE(CONTROL!$C$22, $C$13, 100%, $E$13)</f>
        <v>3.2484000000000002</v>
      </c>
      <c r="F23" s="68">
        <f>3.321 * CHOOSE(CONTROL!$C$22, $C$13, 100%, $E$13)</f>
        <v>3.3210000000000002</v>
      </c>
      <c r="G23" s="68">
        <f>3.336 * CHOOSE(CONTROL!$C$22, $C$13, 100%, $E$13)</f>
        <v>3.3359999999999999</v>
      </c>
      <c r="H23" s="68">
        <f>5.018* CHOOSE(CONTROL!$C$22, $C$13, 100%, $E$13)</f>
        <v>5.0179999999999998</v>
      </c>
      <c r="I23" s="68">
        <f>5.033 * CHOOSE(CONTROL!$C$22, $C$13, 100%, $E$13)</f>
        <v>5.0330000000000004</v>
      </c>
      <c r="J23" s="68">
        <f>3.2484 * CHOOSE(CONTROL!$C$22, $C$13, 100%, $E$13)</f>
        <v>3.2484000000000002</v>
      </c>
      <c r="K23" s="68">
        <f>3.2633 * CHOOSE(CONTROL!$C$22, $C$13, 100%, $E$13)</f>
        <v>3.2633000000000001</v>
      </c>
      <c r="L23" s="4"/>
      <c r="M23" s="68"/>
      <c r="N23" s="68"/>
    </row>
    <row r="24" spans="1:14" ht="15">
      <c r="A24" s="13">
        <v>41852</v>
      </c>
      <c r="B24" s="67">
        <f>2.4115 * CHOOSE(CONTROL!$C$22, $C$13, 100%, $E$13)</f>
        <v>2.4115000000000002</v>
      </c>
      <c r="C24" s="67">
        <f>2.438 * CHOOSE(CONTROL!$C$22, $C$13, 100%, $E$13)</f>
        <v>2.4380000000000002</v>
      </c>
      <c r="D24" s="67">
        <f>2.4435 * CHOOSE(CONTROL!$C$22, $C$13, 100%, $E$13)</f>
        <v>2.4434999999999998</v>
      </c>
      <c r="E24" s="68">
        <f>3.2025 * CHOOSE(CONTROL!$C$22, $C$13, 100%, $E$13)</f>
        <v>3.2025000000000001</v>
      </c>
      <c r="F24" s="68">
        <f>3.282 * CHOOSE(CONTROL!$C$22, $C$13, 100%, $E$13)</f>
        <v>3.282</v>
      </c>
      <c r="G24" s="68">
        <f>3.297 * CHOOSE(CONTROL!$C$22, $C$13, 100%, $E$13)</f>
        <v>3.2970000000000002</v>
      </c>
      <c r="H24" s="68">
        <f>5.018* CHOOSE(CONTROL!$C$22, $C$13, 100%, $E$13)</f>
        <v>5.0179999999999998</v>
      </c>
      <c r="I24" s="68">
        <f>5.033 * CHOOSE(CONTROL!$C$22, $C$13, 100%, $E$13)</f>
        <v>5.0330000000000004</v>
      </c>
      <c r="J24" s="68">
        <f>3.2025 * CHOOSE(CONTROL!$C$22, $C$13, 100%, $E$13)</f>
        <v>3.2025000000000001</v>
      </c>
      <c r="K24" s="68">
        <f>3.2175 * CHOOSE(CONTROL!$C$22, $C$13, 100%, $E$13)</f>
        <v>3.2174999999999998</v>
      </c>
      <c r="L24" s="4"/>
      <c r="M24" s="68"/>
      <c r="N24" s="68"/>
    </row>
    <row r="25" spans="1:14" ht="15">
      <c r="A25" s="13">
        <v>41883</v>
      </c>
      <c r="B25" s="67">
        <f>2.4098 * CHOOSE(CONTROL!$C$22, $C$13, 100%, $E$13)</f>
        <v>2.4098000000000002</v>
      </c>
      <c r="C25" s="67">
        <f>2.435 * CHOOSE(CONTROL!$C$22, $C$13, 100%, $E$13)</f>
        <v>2.4350000000000001</v>
      </c>
      <c r="D25" s="67">
        <f>2.4405 * CHOOSE(CONTROL!$C$22, $C$13, 100%, $E$13)</f>
        <v>2.4405000000000001</v>
      </c>
      <c r="E25" s="68">
        <f>3.2621 * CHOOSE(CONTROL!$C$22, $C$13, 100%, $E$13)</f>
        <v>3.2621000000000002</v>
      </c>
      <c r="F25" s="68">
        <f>3.4 * CHOOSE(CONTROL!$C$22, $C$13, 100%, $E$13)</f>
        <v>3.4</v>
      </c>
      <c r="G25" s="68">
        <f>3.415 * CHOOSE(CONTROL!$C$22, $C$13, 100%, $E$13)</f>
        <v>3.415</v>
      </c>
      <c r="H25" s="68">
        <f>5.018* CHOOSE(CONTROL!$C$22, $C$13, 100%, $E$13)</f>
        <v>5.0179999999999998</v>
      </c>
      <c r="I25" s="68">
        <f>5.033 * CHOOSE(CONTROL!$C$22, $C$13, 100%, $E$13)</f>
        <v>5.0330000000000004</v>
      </c>
      <c r="J25" s="68">
        <f>3.2621 * CHOOSE(CONTROL!$C$22, $C$13, 100%, $E$13)</f>
        <v>3.2621000000000002</v>
      </c>
      <c r="K25" s="68">
        <f>3.277 * CHOOSE(CONTROL!$C$22, $C$13, 100%, $E$13)</f>
        <v>3.2770000000000001</v>
      </c>
      <c r="L25" s="4"/>
      <c r="M25" s="68"/>
      <c r="N25" s="68"/>
    </row>
    <row r="26" spans="1:14" ht="15">
      <c r="A26" s="13">
        <v>41913</v>
      </c>
      <c r="B26" s="67">
        <f>2.4178 * CHOOSE(CONTROL!$C$22, $C$13, 100%, $E$13)</f>
        <v>2.4178000000000002</v>
      </c>
      <c r="C26" s="67">
        <f>2.4347 * CHOOSE(CONTROL!$C$22, $C$13, 100%, $E$13)</f>
        <v>2.4346999999999999</v>
      </c>
      <c r="D26" s="67">
        <f>2.4385 * CHOOSE(CONTROL!$C$22, $C$13, 100%, $E$13)</f>
        <v>2.4384999999999999</v>
      </c>
      <c r="E26" s="68">
        <f>3.2947 * CHOOSE(CONTROL!$C$22, $C$13, 100%, $E$13)</f>
        <v>3.2947000000000002</v>
      </c>
      <c r="F26" s="68">
        <f>3.561 * CHOOSE(CONTROL!$C$22, $C$13, 100%, $E$13)</f>
        <v>3.5609999999999999</v>
      </c>
      <c r="G26" s="68">
        <f>3.5716 * CHOOSE(CONTROL!$C$22, $C$13, 100%, $E$13)</f>
        <v>3.5716000000000001</v>
      </c>
      <c r="H26" s="68">
        <f>5.0285* CHOOSE(CONTROL!$C$22, $C$13, 100%, $E$13)</f>
        <v>5.0285000000000002</v>
      </c>
      <c r="I26" s="68">
        <f>5.039 * CHOOSE(CONTROL!$C$22, $C$13, 100%, $E$13)</f>
        <v>5.0389999999999997</v>
      </c>
      <c r="J26" s="68">
        <f>3.2947 * CHOOSE(CONTROL!$C$22, $C$13, 100%, $E$13)</f>
        <v>3.2947000000000002</v>
      </c>
      <c r="K26" s="68">
        <f>3.3053 * CHOOSE(CONTROL!$C$22, $C$13, 100%, $E$13)</f>
        <v>3.3052999999999999</v>
      </c>
      <c r="L26" s="4"/>
      <c r="M26" s="68"/>
      <c r="N26" s="68"/>
    </row>
    <row r="27" spans="1:14" ht="15">
      <c r="A27" s="13">
        <v>41944</v>
      </c>
      <c r="B27" s="67">
        <f>2.4171 * CHOOSE(CONTROL!$C$22, $C$13, 100%, $E$13)</f>
        <v>2.4171</v>
      </c>
      <c r="C27" s="67">
        <f>2.4431 * CHOOSE(CONTROL!$C$22, $C$13, 100%, $E$13)</f>
        <v>2.4430999999999998</v>
      </c>
      <c r="D27" s="67">
        <f>2.4469 * CHOOSE(CONTROL!$C$22, $C$13, 100%, $E$13)</f>
        <v>2.4468999999999999</v>
      </c>
      <c r="E27" s="68">
        <f>3.3121 * CHOOSE(CONTROL!$C$22, $C$13, 100%, $E$13)</f>
        <v>3.3121</v>
      </c>
      <c r="F27" s="68">
        <f>3.348 * CHOOSE(CONTROL!$C$22, $C$13, 100%, $E$13)</f>
        <v>3.3479999999999999</v>
      </c>
      <c r="G27" s="68">
        <f>3.3586 * CHOOSE(CONTROL!$C$22, $C$13, 100%, $E$13)</f>
        <v>3.3586</v>
      </c>
      <c r="H27" s="68">
        <f>5.0389* CHOOSE(CONTROL!$C$22, $C$13, 100%, $E$13)</f>
        <v>5.0388999999999999</v>
      </c>
      <c r="I27" s="68">
        <f>5.0495 * CHOOSE(CONTROL!$C$22, $C$13, 100%, $E$13)</f>
        <v>5.0495000000000001</v>
      </c>
      <c r="J27" s="68">
        <f>3.3121 * CHOOSE(CONTROL!$C$22, $C$13, 100%, $E$13)</f>
        <v>3.3121</v>
      </c>
      <c r="K27" s="68">
        <f>3.3227 * CHOOSE(CONTROL!$C$22, $C$13, 100%, $E$13)</f>
        <v>3.3227000000000002</v>
      </c>
      <c r="L27" s="4"/>
      <c r="M27" s="68"/>
      <c r="N27" s="68"/>
    </row>
    <row r="28" spans="1:14" ht="15">
      <c r="A28" s="13">
        <v>41974</v>
      </c>
      <c r="B28" s="67">
        <f>2.4197 * CHOOSE(CONTROL!$C$22, $C$13, 100%, $E$13)</f>
        <v>2.4197000000000002</v>
      </c>
      <c r="C28" s="67">
        <f>2.4491 * CHOOSE(CONTROL!$C$22, $C$13, 100%, $E$13)</f>
        <v>2.4491000000000001</v>
      </c>
      <c r="D28" s="67">
        <f>2.453 * CHOOSE(CONTROL!$C$22, $C$13, 100%, $E$13)</f>
        <v>2.4529999999999998</v>
      </c>
      <c r="E28" s="68">
        <f>3.3287 * CHOOSE(CONTROL!$C$22, $C$13, 100%, $E$13)</f>
        <v>3.3287</v>
      </c>
      <c r="F28" s="68">
        <f>3.385 * CHOOSE(CONTROL!$C$22, $C$13, 100%, $E$13)</f>
        <v>3.3849999999999998</v>
      </c>
      <c r="G28" s="68">
        <f>3.3956 * CHOOSE(CONTROL!$C$22, $C$13, 100%, $E$13)</f>
        <v>3.3956</v>
      </c>
      <c r="H28" s="68">
        <f>5.0494* CHOOSE(CONTROL!$C$22, $C$13, 100%, $E$13)</f>
        <v>5.0494000000000003</v>
      </c>
      <c r="I28" s="68">
        <f>5.06 * CHOOSE(CONTROL!$C$22, $C$13, 100%, $E$13)</f>
        <v>5.0599999999999996</v>
      </c>
      <c r="J28" s="68">
        <f>3.3287 * CHOOSE(CONTROL!$C$22, $C$13, 100%, $E$13)</f>
        <v>3.3287</v>
      </c>
      <c r="K28" s="68">
        <f>3.3393 * CHOOSE(CONTROL!$C$22, $C$13, 100%, $E$13)</f>
        <v>3.3393000000000002</v>
      </c>
      <c r="L28" s="4"/>
      <c r="M28" s="68"/>
      <c r="N28" s="68"/>
    </row>
    <row r="29" spans="1:14" ht="15">
      <c r="A29" s="13">
        <v>42005</v>
      </c>
      <c r="B29" s="67">
        <f>2.4907 * CHOOSE(CONTROL!$C$22, $C$13, 100%, $E$13)</f>
        <v>2.4906999999999999</v>
      </c>
      <c r="C29" s="67">
        <f>2.5129 * CHOOSE(CONTROL!$C$22, $C$13, 100%, $E$13)</f>
        <v>2.5129000000000001</v>
      </c>
      <c r="D29" s="67">
        <f>2.5168 * CHOOSE(CONTROL!$C$22, $C$13, 100%, $E$13)</f>
        <v>2.5167999999999999</v>
      </c>
      <c r="E29" s="68">
        <f>3.1876 * CHOOSE(CONTROL!$C$22, $C$13, 100%, $E$13)</f>
        <v>3.1876000000000002</v>
      </c>
      <c r="F29" s="68">
        <f>3.254 * CHOOSE(CONTROL!$C$22, $C$13, 100%, $E$13)</f>
        <v>3.254</v>
      </c>
      <c r="G29" s="68">
        <f>3.2588 * CHOOSE(CONTROL!$C$22, $C$13, 100%, $E$13)</f>
        <v>3.2587999999999999</v>
      </c>
      <c r="H29" s="68">
        <f>5.0599* CHOOSE(CONTROL!$C$22, $C$13, 100%, $E$13)</f>
        <v>5.0598999999999998</v>
      </c>
      <c r="I29" s="68">
        <f>5.0647 * CHOOSE(CONTROL!$C$22, $C$13, 100%, $E$13)</f>
        <v>5.0647000000000002</v>
      </c>
      <c r="J29" s="68">
        <f>3.1876 * CHOOSE(CONTROL!$C$22, $C$13, 100%, $E$13)</f>
        <v>3.1876000000000002</v>
      </c>
      <c r="K29" s="68">
        <f>3.1924 * CHOOSE(CONTROL!$C$22, $C$13, 100%, $E$13)</f>
        <v>3.1924000000000001</v>
      </c>
      <c r="L29" s="4"/>
      <c r="M29" s="68"/>
      <c r="N29" s="68"/>
    </row>
    <row r="30" spans="1:14" ht="15">
      <c r="A30" s="13">
        <v>42036</v>
      </c>
      <c r="B30" s="67">
        <f>2.4906 * CHOOSE(CONTROL!$C$22, $C$13, 100%, $E$13)</f>
        <v>2.4906000000000001</v>
      </c>
      <c r="C30" s="67">
        <f>2.5152 * CHOOSE(CONTROL!$C$22, $C$13, 100%, $E$13)</f>
        <v>2.5152000000000001</v>
      </c>
      <c r="D30" s="67">
        <f>2.5191 * CHOOSE(CONTROL!$C$22, $C$13, 100%, $E$13)</f>
        <v>2.5190999999999999</v>
      </c>
      <c r="E30" s="68">
        <f>3.1987 * CHOOSE(CONTROL!$C$22, $C$13, 100%, $E$13)</f>
        <v>3.1987000000000001</v>
      </c>
      <c r="F30" s="68">
        <f>3.254 * CHOOSE(CONTROL!$C$22, $C$13, 100%, $E$13)</f>
        <v>3.254</v>
      </c>
      <c r="G30" s="68">
        <f>3.2588 * CHOOSE(CONTROL!$C$22, $C$13, 100%, $E$13)</f>
        <v>3.2587999999999999</v>
      </c>
      <c r="H30" s="68">
        <f>5.0705* CHOOSE(CONTROL!$C$22, $C$13, 100%, $E$13)</f>
        <v>5.0705</v>
      </c>
      <c r="I30" s="68">
        <f>5.0753 * CHOOSE(CONTROL!$C$22, $C$13, 100%, $E$13)</f>
        <v>5.0753000000000004</v>
      </c>
      <c r="J30" s="68">
        <f>3.1987 * CHOOSE(CONTROL!$C$22, $C$13, 100%, $E$13)</f>
        <v>3.1987000000000001</v>
      </c>
      <c r="K30" s="68">
        <f>3.2034 * CHOOSE(CONTROL!$C$22, $C$13, 100%, $E$13)</f>
        <v>3.2033999999999998</v>
      </c>
      <c r="L30" s="4"/>
      <c r="M30" s="68"/>
      <c r="N30" s="68"/>
    </row>
    <row r="31" spans="1:14" ht="15">
      <c r="A31" s="13">
        <v>42064</v>
      </c>
      <c r="B31" s="67">
        <f>2.4913 * CHOOSE(CONTROL!$C$22, $C$13, 100%, $E$13)</f>
        <v>2.4912999999999998</v>
      </c>
      <c r="C31" s="67">
        <f>2.5122 * CHOOSE(CONTROL!$C$22, $C$13, 100%, $E$13)</f>
        <v>2.5122</v>
      </c>
      <c r="D31" s="67">
        <f>2.516 * CHOOSE(CONTROL!$C$22, $C$13, 100%, $E$13)</f>
        <v>2.516</v>
      </c>
      <c r="E31" s="68">
        <f>3.1433 * CHOOSE(CONTROL!$C$22, $C$13, 100%, $E$13)</f>
        <v>3.1433</v>
      </c>
      <c r="F31" s="68">
        <f>3.254 * CHOOSE(CONTROL!$C$22, $C$13, 100%, $E$13)</f>
        <v>3.254</v>
      </c>
      <c r="G31" s="68">
        <f>3.2588 * CHOOSE(CONTROL!$C$22, $C$13, 100%, $E$13)</f>
        <v>3.2587999999999999</v>
      </c>
      <c r="H31" s="68">
        <f>5.0811* CHOOSE(CONTROL!$C$22, $C$13, 100%, $E$13)</f>
        <v>5.0811000000000002</v>
      </c>
      <c r="I31" s="68">
        <f>5.0858 * CHOOSE(CONTROL!$C$22, $C$13, 100%, $E$13)</f>
        <v>5.0857999999999999</v>
      </c>
      <c r="J31" s="68">
        <f>3.1433 * CHOOSE(CONTROL!$C$22, $C$13, 100%, $E$13)</f>
        <v>3.1433</v>
      </c>
      <c r="K31" s="68">
        <f>3.1481 * CHOOSE(CONTROL!$C$22, $C$13, 100%, $E$13)</f>
        <v>3.1480999999999999</v>
      </c>
      <c r="L31" s="4"/>
      <c r="M31" s="68"/>
      <c r="N31" s="68"/>
    </row>
    <row r="32" spans="1:14" ht="15">
      <c r="A32" s="13">
        <v>42095</v>
      </c>
      <c r="B32" s="67">
        <f>2.489 * CHOOSE(CONTROL!$C$22, $C$13, 100%, $E$13)</f>
        <v>2.4889999999999999</v>
      </c>
      <c r="C32" s="67">
        <f>2.5091 * CHOOSE(CONTROL!$C$22, $C$13, 100%, $E$13)</f>
        <v>2.5091000000000001</v>
      </c>
      <c r="D32" s="67">
        <f>2.513 * CHOOSE(CONTROL!$C$22, $C$13, 100%, $E$13)</f>
        <v>2.5129999999999999</v>
      </c>
      <c r="E32" s="68">
        <f>3.186 * CHOOSE(CONTROL!$C$22, $C$13, 100%, $E$13)</f>
        <v>3.1859999999999999</v>
      </c>
      <c r="F32" s="68">
        <f>3.254 * CHOOSE(CONTROL!$C$22, $C$13, 100%, $E$13)</f>
        <v>3.254</v>
      </c>
      <c r="G32" s="68">
        <f>3.2588 * CHOOSE(CONTROL!$C$22, $C$13, 100%, $E$13)</f>
        <v>3.2587999999999999</v>
      </c>
      <c r="H32" s="68">
        <f>5.0916* CHOOSE(CONTROL!$C$22, $C$13, 100%, $E$13)</f>
        <v>5.0915999999999997</v>
      </c>
      <c r="I32" s="68">
        <f>5.0964 * CHOOSE(CONTROL!$C$22, $C$13, 100%, $E$13)</f>
        <v>5.0964</v>
      </c>
      <c r="J32" s="68">
        <f>3.186 * CHOOSE(CONTROL!$C$22, $C$13, 100%, $E$13)</f>
        <v>3.1859999999999999</v>
      </c>
      <c r="K32" s="68">
        <f>3.1908 * CHOOSE(CONTROL!$C$22, $C$13, 100%, $E$13)</f>
        <v>3.1907999999999999</v>
      </c>
      <c r="L32" s="4"/>
      <c r="M32" s="68"/>
      <c r="N32" s="68"/>
    </row>
    <row r="33" spans="1:14" ht="15">
      <c r="A33" s="13">
        <v>42125</v>
      </c>
      <c r="B33" s="67">
        <f>2.4919 * CHOOSE(CONTROL!$C$22, $C$13, 100%, $E$13)</f>
        <v>2.4918999999999998</v>
      </c>
      <c r="C33" s="67">
        <f>2.5114 * CHOOSE(CONTROL!$C$22, $C$13, 100%, $E$13)</f>
        <v>2.5114000000000001</v>
      </c>
      <c r="D33" s="67">
        <f>2.5169 * CHOOSE(CONTROL!$C$22, $C$13, 100%, $E$13)</f>
        <v>2.5169000000000001</v>
      </c>
      <c r="E33" s="68">
        <f>3.186 * CHOOSE(CONTROL!$C$22, $C$13, 100%, $E$13)</f>
        <v>3.1859999999999999</v>
      </c>
      <c r="F33" s="68">
        <f>3.254 * CHOOSE(CONTROL!$C$22, $C$13, 100%, $E$13)</f>
        <v>3.254</v>
      </c>
      <c r="G33" s="68">
        <f>3.2607 * CHOOSE(CONTROL!$C$22, $C$13, 100%, $E$13)</f>
        <v>3.2606999999999999</v>
      </c>
      <c r="H33" s="68">
        <f>5.1022* CHOOSE(CONTROL!$C$22, $C$13, 100%, $E$13)</f>
        <v>5.1021999999999998</v>
      </c>
      <c r="I33" s="68">
        <f>5.109 * CHOOSE(CONTROL!$C$22, $C$13, 100%, $E$13)</f>
        <v>5.109</v>
      </c>
      <c r="J33" s="68">
        <f>3.186 * CHOOSE(CONTROL!$C$22, $C$13, 100%, $E$13)</f>
        <v>3.1859999999999999</v>
      </c>
      <c r="K33" s="68">
        <f>3.1927 * CHOOSE(CONTROL!$C$22, $C$13, 100%, $E$13)</f>
        <v>3.1926999999999999</v>
      </c>
      <c r="L33" s="4"/>
      <c r="M33" s="68"/>
      <c r="N33" s="68"/>
    </row>
    <row r="34" spans="1:14" ht="15">
      <c r="A34" s="13">
        <v>42156</v>
      </c>
      <c r="B34" s="67">
        <f>2.4945 * CHOOSE(CONTROL!$C$22, $C$13, 100%, $E$13)</f>
        <v>2.4944999999999999</v>
      </c>
      <c r="C34" s="67">
        <f>2.5175 * CHOOSE(CONTROL!$C$22, $C$13, 100%, $E$13)</f>
        <v>2.5175000000000001</v>
      </c>
      <c r="D34" s="67">
        <f>2.523 * CHOOSE(CONTROL!$C$22, $C$13, 100%, $E$13)</f>
        <v>2.5230000000000001</v>
      </c>
      <c r="E34" s="68">
        <f>3.2268 * CHOOSE(CONTROL!$C$22, $C$13, 100%, $E$13)</f>
        <v>3.2267999999999999</v>
      </c>
      <c r="F34" s="68">
        <f>3.254 * CHOOSE(CONTROL!$C$22, $C$13, 100%, $E$13)</f>
        <v>3.254</v>
      </c>
      <c r="G34" s="68">
        <f>3.2607 * CHOOSE(CONTROL!$C$22, $C$13, 100%, $E$13)</f>
        <v>3.2606999999999999</v>
      </c>
      <c r="H34" s="68">
        <f>5.1129* CHOOSE(CONTROL!$C$22, $C$13, 100%, $E$13)</f>
        <v>5.1128999999999998</v>
      </c>
      <c r="I34" s="68">
        <f>5.1196 * CHOOSE(CONTROL!$C$22, $C$13, 100%, $E$13)</f>
        <v>5.1196000000000002</v>
      </c>
      <c r="J34" s="68">
        <f>3.2268 * CHOOSE(CONTROL!$C$22, $C$13, 100%, $E$13)</f>
        <v>3.2267999999999999</v>
      </c>
      <c r="K34" s="68">
        <f>3.2335 * CHOOSE(CONTROL!$C$22, $C$13, 100%, $E$13)</f>
        <v>3.2334999999999998</v>
      </c>
      <c r="L34" s="4"/>
      <c r="M34" s="68"/>
      <c r="N34" s="68"/>
    </row>
    <row r="35" spans="1:14" ht="15">
      <c r="A35" s="13">
        <v>42186</v>
      </c>
      <c r="B35" s="67">
        <f>2.5054 * CHOOSE(CONTROL!$C$22, $C$13, 100%, $E$13)</f>
        <v>2.5053999999999998</v>
      </c>
      <c r="C35" s="67">
        <f>2.5357 * CHOOSE(CONTROL!$C$22, $C$13, 100%, $E$13)</f>
        <v>2.5356999999999998</v>
      </c>
      <c r="D35" s="67">
        <f>2.5412 * CHOOSE(CONTROL!$C$22, $C$13, 100%, $E$13)</f>
        <v>2.5411999999999999</v>
      </c>
      <c r="E35" s="68">
        <f>3.2136 * CHOOSE(CONTROL!$C$22, $C$13, 100%, $E$13)</f>
        <v>3.2136</v>
      </c>
      <c r="F35" s="68">
        <f>3.254 * CHOOSE(CONTROL!$C$22, $C$13, 100%, $E$13)</f>
        <v>3.254</v>
      </c>
      <c r="G35" s="68">
        <f>3.2607 * CHOOSE(CONTROL!$C$22, $C$13, 100%, $E$13)</f>
        <v>3.2606999999999999</v>
      </c>
      <c r="H35" s="68">
        <f>5.1235* CHOOSE(CONTROL!$C$22, $C$13, 100%, $E$13)</f>
        <v>5.1234999999999999</v>
      </c>
      <c r="I35" s="68">
        <f>5.1303 * CHOOSE(CONTROL!$C$22, $C$13, 100%, $E$13)</f>
        <v>5.1303000000000001</v>
      </c>
      <c r="J35" s="68">
        <f>3.2136 * CHOOSE(CONTROL!$C$22, $C$13, 100%, $E$13)</f>
        <v>3.2136</v>
      </c>
      <c r="K35" s="68">
        <f>3.2203 * CHOOSE(CONTROL!$C$22, $C$13, 100%, $E$13)</f>
        <v>3.2202999999999999</v>
      </c>
      <c r="L35" s="4"/>
      <c r="M35" s="68"/>
      <c r="N35" s="68"/>
    </row>
    <row r="36" spans="1:14" ht="15">
      <c r="A36" s="13">
        <v>42217</v>
      </c>
      <c r="B36" s="67">
        <f>2.5144 * CHOOSE(CONTROL!$C$22, $C$13, 100%, $E$13)</f>
        <v>2.5144000000000002</v>
      </c>
      <c r="C36" s="67">
        <f>2.5502 * CHOOSE(CONTROL!$C$22, $C$13, 100%, $E$13)</f>
        <v>2.5501999999999998</v>
      </c>
      <c r="D36" s="67">
        <f>2.5557 * CHOOSE(CONTROL!$C$22, $C$13, 100%, $E$13)</f>
        <v>2.5556999999999999</v>
      </c>
      <c r="E36" s="68">
        <f>3.2338 * CHOOSE(CONTROL!$C$22, $C$13, 100%, $E$13)</f>
        <v>3.2338</v>
      </c>
      <c r="F36" s="68">
        <f>3.254 * CHOOSE(CONTROL!$C$22, $C$13, 100%, $E$13)</f>
        <v>3.254</v>
      </c>
      <c r="G36" s="68">
        <f>3.2607 * CHOOSE(CONTROL!$C$22, $C$13, 100%, $E$13)</f>
        <v>3.2606999999999999</v>
      </c>
      <c r="H36" s="68">
        <f>5.1342* CHOOSE(CONTROL!$C$22, $C$13, 100%, $E$13)</f>
        <v>5.1341999999999999</v>
      </c>
      <c r="I36" s="68">
        <f>5.1409 * CHOOSE(CONTROL!$C$22, $C$13, 100%, $E$13)</f>
        <v>5.1409000000000002</v>
      </c>
      <c r="J36" s="68">
        <f>3.2338 * CHOOSE(CONTROL!$C$22, $C$13, 100%, $E$13)</f>
        <v>3.2338</v>
      </c>
      <c r="K36" s="68">
        <f>3.2405 * CHOOSE(CONTROL!$C$22, $C$13, 100%, $E$13)</f>
        <v>3.2404999999999999</v>
      </c>
      <c r="L36" s="4"/>
      <c r="M36" s="68"/>
      <c r="N36" s="68"/>
    </row>
    <row r="37" spans="1:14" ht="15">
      <c r="A37" s="13">
        <v>42248</v>
      </c>
      <c r="B37" s="67">
        <f>2.5116 * CHOOSE(CONTROL!$C$22, $C$13, 100%, $E$13)</f>
        <v>2.5116000000000001</v>
      </c>
      <c r="C37" s="67">
        <f>2.5471 * CHOOSE(CONTROL!$C$22, $C$13, 100%, $E$13)</f>
        <v>2.5470999999999999</v>
      </c>
      <c r="D37" s="67">
        <f>2.5526 * CHOOSE(CONTROL!$C$22, $C$13, 100%, $E$13)</f>
        <v>2.5526</v>
      </c>
      <c r="E37" s="68">
        <f>3.2287 * CHOOSE(CONTROL!$C$22, $C$13, 100%, $E$13)</f>
        <v>3.2286999999999999</v>
      </c>
      <c r="F37" s="68">
        <f>3.254 * CHOOSE(CONTROL!$C$22, $C$13, 100%, $E$13)</f>
        <v>3.254</v>
      </c>
      <c r="G37" s="68">
        <f>3.2607 * CHOOSE(CONTROL!$C$22, $C$13, 100%, $E$13)</f>
        <v>3.2606999999999999</v>
      </c>
      <c r="H37" s="68">
        <f>5.1449* CHOOSE(CONTROL!$C$22, $C$13, 100%, $E$13)</f>
        <v>5.1448999999999998</v>
      </c>
      <c r="I37" s="68">
        <f>5.1516 * CHOOSE(CONTROL!$C$22, $C$13, 100%, $E$13)</f>
        <v>5.1516000000000002</v>
      </c>
      <c r="J37" s="68">
        <f>3.2287 * CHOOSE(CONTROL!$C$22, $C$13, 100%, $E$13)</f>
        <v>3.2286999999999999</v>
      </c>
      <c r="K37" s="68">
        <f>3.2355 * CHOOSE(CONTROL!$C$22, $C$13, 100%, $E$13)</f>
        <v>3.2355</v>
      </c>
      <c r="L37" s="4"/>
      <c r="M37" s="68"/>
      <c r="N37" s="68"/>
    </row>
    <row r="38" spans="1:14" ht="15">
      <c r="A38" s="13">
        <v>42278</v>
      </c>
      <c r="B38" s="67">
        <f>2.5077 * CHOOSE(CONTROL!$C$22, $C$13, 100%, $E$13)</f>
        <v>2.5076999999999998</v>
      </c>
      <c r="C38" s="67">
        <f>2.538 * CHOOSE(CONTROL!$C$22, $C$13, 100%, $E$13)</f>
        <v>2.5379999999999998</v>
      </c>
      <c r="D38" s="67">
        <f>2.5419 * CHOOSE(CONTROL!$C$22, $C$13, 100%, $E$13)</f>
        <v>2.5419</v>
      </c>
      <c r="E38" s="68">
        <f>3.2365 * CHOOSE(CONTROL!$C$22, $C$13, 100%, $E$13)</f>
        <v>3.2364999999999999</v>
      </c>
      <c r="F38" s="68">
        <f>3.254 * CHOOSE(CONTROL!$C$22, $C$13, 100%, $E$13)</f>
        <v>3.254</v>
      </c>
      <c r="G38" s="68">
        <f>3.2588 * CHOOSE(CONTROL!$C$22, $C$13, 100%, $E$13)</f>
        <v>3.2587999999999999</v>
      </c>
      <c r="H38" s="68">
        <f>5.1556* CHOOSE(CONTROL!$C$22, $C$13, 100%, $E$13)</f>
        <v>5.1555999999999997</v>
      </c>
      <c r="I38" s="68">
        <f>5.1604 * CHOOSE(CONTROL!$C$22, $C$13, 100%, $E$13)</f>
        <v>5.1604000000000001</v>
      </c>
      <c r="J38" s="68">
        <f>3.2365 * CHOOSE(CONTROL!$C$22, $C$13, 100%, $E$13)</f>
        <v>3.2364999999999999</v>
      </c>
      <c r="K38" s="68">
        <f>3.2413 * CHOOSE(CONTROL!$C$22, $C$13, 100%, $E$13)</f>
        <v>3.2412999999999998</v>
      </c>
      <c r="L38" s="4"/>
      <c r="M38" s="68"/>
      <c r="N38" s="68"/>
    </row>
    <row r="39" spans="1:14" ht="15">
      <c r="A39" s="13">
        <v>42309</v>
      </c>
      <c r="B39" s="67">
        <f>2.5106 * CHOOSE(CONTROL!$C$22, $C$13, 100%, $E$13)</f>
        <v>2.5106000000000002</v>
      </c>
      <c r="C39" s="67">
        <f>2.5433 * CHOOSE(CONTROL!$C$22, $C$13, 100%, $E$13)</f>
        <v>2.5432999999999999</v>
      </c>
      <c r="D39" s="67">
        <f>2.5472 * CHOOSE(CONTROL!$C$22, $C$13, 100%, $E$13)</f>
        <v>2.5472000000000001</v>
      </c>
      <c r="E39" s="68">
        <f>3.2365 * CHOOSE(CONTROL!$C$22, $C$13, 100%, $E$13)</f>
        <v>3.2364999999999999</v>
      </c>
      <c r="F39" s="68">
        <f>3.254 * CHOOSE(CONTROL!$C$22, $C$13, 100%, $E$13)</f>
        <v>3.254</v>
      </c>
      <c r="G39" s="68">
        <f>3.2588 * CHOOSE(CONTROL!$C$22, $C$13, 100%, $E$13)</f>
        <v>3.2587999999999999</v>
      </c>
      <c r="H39" s="68">
        <f>5.1664* CHOOSE(CONTROL!$C$22, $C$13, 100%, $E$13)</f>
        <v>5.1664000000000003</v>
      </c>
      <c r="I39" s="68">
        <f>5.1711 * CHOOSE(CONTROL!$C$22, $C$13, 100%, $E$13)</f>
        <v>5.1711</v>
      </c>
      <c r="J39" s="68">
        <f>3.2365 * CHOOSE(CONTROL!$C$22, $C$13, 100%, $E$13)</f>
        <v>3.2364999999999999</v>
      </c>
      <c r="K39" s="68">
        <f>3.2413 * CHOOSE(CONTROL!$C$22, $C$13, 100%, $E$13)</f>
        <v>3.2412999999999998</v>
      </c>
      <c r="L39" s="4"/>
      <c r="M39" s="68"/>
      <c r="N39" s="68"/>
    </row>
    <row r="40" spans="1:14" ht="15">
      <c r="A40" s="13">
        <v>42339</v>
      </c>
      <c r="B40" s="67">
        <f>2.5133 * CHOOSE(CONTROL!$C$22, $C$13, 100%, $E$13)</f>
        <v>2.5133000000000001</v>
      </c>
      <c r="C40" s="67">
        <f>2.5463 * CHOOSE(CONTROL!$C$22, $C$13, 100%, $E$13)</f>
        <v>2.5463</v>
      </c>
      <c r="D40" s="67">
        <f>2.5502 * CHOOSE(CONTROL!$C$22, $C$13, 100%, $E$13)</f>
        <v>2.5501999999999998</v>
      </c>
      <c r="E40" s="68">
        <f>3.2307 * CHOOSE(CONTROL!$C$22, $C$13, 100%, $E$13)</f>
        <v>3.2307000000000001</v>
      </c>
      <c r="F40" s="68">
        <f>3.254 * CHOOSE(CONTROL!$C$22, $C$13, 100%, $E$13)</f>
        <v>3.254</v>
      </c>
      <c r="G40" s="68">
        <f>3.2588 * CHOOSE(CONTROL!$C$22, $C$13, 100%, $E$13)</f>
        <v>3.2587999999999999</v>
      </c>
      <c r="H40" s="68">
        <f>5.1771* CHOOSE(CONTROL!$C$22, $C$13, 100%, $E$13)</f>
        <v>5.1771000000000003</v>
      </c>
      <c r="I40" s="68">
        <f>5.1819 * CHOOSE(CONTROL!$C$22, $C$13, 100%, $E$13)</f>
        <v>5.1818999999999997</v>
      </c>
      <c r="J40" s="68">
        <f>3.2307 * CHOOSE(CONTROL!$C$22, $C$13, 100%, $E$13)</f>
        <v>3.2307000000000001</v>
      </c>
      <c r="K40" s="68">
        <f>3.2354 * CHOOSE(CONTROL!$C$22, $C$13, 100%, $E$13)</f>
        <v>3.2353999999999998</v>
      </c>
      <c r="L40" s="4"/>
      <c r="M40" s="68"/>
      <c r="N40" s="68"/>
    </row>
    <row r="41" spans="1:14" ht="15">
      <c r="A41" s="13">
        <v>42370</v>
      </c>
      <c r="B41" s="67">
        <f>2.8414 * CHOOSE(CONTROL!$C$22, $C$13, 100%, $E$13)</f>
        <v>2.8414000000000001</v>
      </c>
      <c r="C41" s="67">
        <f>2.8414 * CHOOSE(CONTROL!$C$22, $C$13, 100%, $E$13)</f>
        <v>2.8414000000000001</v>
      </c>
      <c r="D41" s="67">
        <f>2.8453 * CHOOSE(CONTROL!$C$22, $C$13, 100%, $E$13)</f>
        <v>2.8452999999999999</v>
      </c>
      <c r="E41" s="68">
        <f>3.358 * CHOOSE(CONTROL!$C$22, $C$13, 100%, $E$13)</f>
        <v>3.3580000000000001</v>
      </c>
      <c r="F41" s="68">
        <f>3.446 * CHOOSE(CONTROL!$C$22, $C$13, 100%, $E$13)</f>
        <v>3.4460000000000002</v>
      </c>
      <c r="G41" s="68">
        <f>3.4508 * CHOOSE(CONTROL!$C$22, $C$13, 100%, $E$13)</f>
        <v>3.4508000000000001</v>
      </c>
      <c r="H41" s="68">
        <f>5.1879* CHOOSE(CONTROL!$C$22, $C$13, 100%, $E$13)</f>
        <v>5.1879</v>
      </c>
      <c r="I41" s="68">
        <f>5.1927 * CHOOSE(CONTROL!$C$22, $C$13, 100%, $E$13)</f>
        <v>5.1927000000000003</v>
      </c>
      <c r="J41" s="68">
        <f>3.358 * CHOOSE(CONTROL!$C$22, $C$13, 100%, $E$13)</f>
        <v>3.3580000000000001</v>
      </c>
      <c r="K41" s="68">
        <f>3.3628 * CHOOSE(CONTROL!$C$22, $C$13, 100%, $E$13)</f>
        <v>3.3628</v>
      </c>
      <c r="L41" s="4"/>
      <c r="M41" s="68"/>
      <c r="N41" s="68"/>
    </row>
    <row r="42" spans="1:14" ht="15">
      <c r="A42" s="13">
        <v>42401</v>
      </c>
      <c r="B42" s="67">
        <f>2.8414 * CHOOSE(CONTROL!$C$22, $C$13, 100%, $E$13)</f>
        <v>2.8414000000000001</v>
      </c>
      <c r="C42" s="67">
        <f>2.8414 * CHOOSE(CONTROL!$C$22, $C$13, 100%, $E$13)</f>
        <v>2.8414000000000001</v>
      </c>
      <c r="D42" s="67">
        <f>2.8453 * CHOOSE(CONTROL!$C$22, $C$13, 100%, $E$13)</f>
        <v>2.8452999999999999</v>
      </c>
      <c r="E42" s="68">
        <f>3.402 * CHOOSE(CONTROL!$C$22, $C$13, 100%, $E$13)</f>
        <v>3.4020000000000001</v>
      </c>
      <c r="F42" s="68">
        <f>3.446 * CHOOSE(CONTROL!$C$22, $C$13, 100%, $E$13)</f>
        <v>3.4460000000000002</v>
      </c>
      <c r="G42" s="68">
        <f>3.4508 * CHOOSE(CONTROL!$C$22, $C$13, 100%, $E$13)</f>
        <v>3.4508000000000001</v>
      </c>
      <c r="H42" s="68">
        <f>5.1987* CHOOSE(CONTROL!$C$22, $C$13, 100%, $E$13)</f>
        <v>5.1986999999999997</v>
      </c>
      <c r="I42" s="68">
        <f>5.2035 * CHOOSE(CONTROL!$C$22, $C$13, 100%, $E$13)</f>
        <v>5.2035</v>
      </c>
      <c r="J42" s="68">
        <f>3.402 * CHOOSE(CONTROL!$C$22, $C$13, 100%, $E$13)</f>
        <v>3.4020000000000001</v>
      </c>
      <c r="K42" s="68">
        <f>3.4068 * CHOOSE(CONTROL!$C$22, $C$13, 100%, $E$13)</f>
        <v>3.4068000000000001</v>
      </c>
      <c r="L42" s="4"/>
      <c r="M42" s="68"/>
      <c r="N42" s="68"/>
    </row>
    <row r="43" spans="1:14" ht="15">
      <c r="A43" s="13">
        <v>42430</v>
      </c>
      <c r="B43" s="67">
        <f>2.8384 * CHOOSE(CONTROL!$C$22, $C$13, 100%, $E$13)</f>
        <v>2.8384</v>
      </c>
      <c r="C43" s="67">
        <f>2.8384 * CHOOSE(CONTROL!$C$22, $C$13, 100%, $E$13)</f>
        <v>2.8384</v>
      </c>
      <c r="D43" s="67">
        <f>2.8422 * CHOOSE(CONTROL!$C$22, $C$13, 100%, $E$13)</f>
        <v>2.8422000000000001</v>
      </c>
      <c r="E43" s="68">
        <f>3.358 * CHOOSE(CONTROL!$C$22, $C$13, 100%, $E$13)</f>
        <v>3.3580000000000001</v>
      </c>
      <c r="F43" s="68">
        <f>3.446 * CHOOSE(CONTROL!$C$22, $C$13, 100%, $E$13)</f>
        <v>3.4460000000000002</v>
      </c>
      <c r="G43" s="68">
        <f>3.4508 * CHOOSE(CONTROL!$C$22, $C$13, 100%, $E$13)</f>
        <v>3.4508000000000001</v>
      </c>
      <c r="H43" s="68">
        <f>5.2095* CHOOSE(CONTROL!$C$22, $C$13, 100%, $E$13)</f>
        <v>5.2095000000000002</v>
      </c>
      <c r="I43" s="68">
        <f>5.2143 * CHOOSE(CONTROL!$C$22, $C$13, 100%, $E$13)</f>
        <v>5.2142999999999997</v>
      </c>
      <c r="J43" s="68">
        <f>3.358 * CHOOSE(CONTROL!$C$22, $C$13, 100%, $E$13)</f>
        <v>3.3580000000000001</v>
      </c>
      <c r="K43" s="68">
        <f>3.3628 * CHOOSE(CONTROL!$C$22, $C$13, 100%, $E$13)</f>
        <v>3.3628</v>
      </c>
      <c r="L43" s="4"/>
      <c r="M43" s="68"/>
      <c r="N43" s="68"/>
    </row>
    <row r="44" spans="1:14" ht="15">
      <c r="A44" s="13">
        <v>42461</v>
      </c>
      <c r="B44" s="67">
        <f>2.8276 * CHOOSE(CONTROL!$C$22, $C$13, 100%, $E$13)</f>
        <v>2.8275999999999999</v>
      </c>
      <c r="C44" s="67">
        <f>2.8276 * CHOOSE(CONTROL!$C$22, $C$13, 100%, $E$13)</f>
        <v>2.8275999999999999</v>
      </c>
      <c r="D44" s="67">
        <f>2.8315 * CHOOSE(CONTROL!$C$22, $C$13, 100%, $E$13)</f>
        <v>2.8315000000000001</v>
      </c>
      <c r="E44" s="68">
        <f>3.402 * CHOOSE(CONTROL!$C$22, $C$13, 100%, $E$13)</f>
        <v>3.4020000000000001</v>
      </c>
      <c r="F44" s="68">
        <f>3.446 * CHOOSE(CONTROL!$C$22, $C$13, 100%, $E$13)</f>
        <v>3.4460000000000002</v>
      </c>
      <c r="G44" s="68">
        <f>3.4508 * CHOOSE(CONTROL!$C$22, $C$13, 100%, $E$13)</f>
        <v>3.4508000000000001</v>
      </c>
      <c r="H44" s="68">
        <f>5.2204* CHOOSE(CONTROL!$C$22, $C$13, 100%, $E$13)</f>
        <v>5.2203999999999997</v>
      </c>
      <c r="I44" s="68">
        <f>5.2252 * CHOOSE(CONTROL!$C$22, $C$13, 100%, $E$13)</f>
        <v>5.2252000000000001</v>
      </c>
      <c r="J44" s="68">
        <f>3.402 * CHOOSE(CONTROL!$C$22, $C$13, 100%, $E$13)</f>
        <v>3.4020000000000001</v>
      </c>
      <c r="K44" s="68">
        <f>3.4068 * CHOOSE(CONTROL!$C$22, $C$13, 100%, $E$13)</f>
        <v>3.4068000000000001</v>
      </c>
      <c r="L44" s="4"/>
      <c r="M44" s="68"/>
      <c r="N44" s="68"/>
    </row>
    <row r="45" spans="1:14" ht="15">
      <c r="A45" s="13">
        <v>42491</v>
      </c>
      <c r="B45" s="67">
        <f>2.8307 * CHOOSE(CONTROL!$C$22, $C$13, 100%, $E$13)</f>
        <v>2.8307000000000002</v>
      </c>
      <c r="C45" s="67">
        <f>2.8307 * CHOOSE(CONTROL!$C$22, $C$13, 100%, $E$13)</f>
        <v>2.8307000000000002</v>
      </c>
      <c r="D45" s="67">
        <f>2.8362 * CHOOSE(CONTROL!$C$22, $C$13, 100%, $E$13)</f>
        <v>2.8361999999999998</v>
      </c>
      <c r="E45" s="68">
        <f>3.358 * CHOOSE(CONTROL!$C$22, $C$13, 100%, $E$13)</f>
        <v>3.3580000000000001</v>
      </c>
      <c r="F45" s="68">
        <f>3.446 * CHOOSE(CONTROL!$C$22, $C$13, 100%, $E$13)</f>
        <v>3.4460000000000002</v>
      </c>
      <c r="G45" s="68">
        <f>3.4527 * CHOOSE(CONTROL!$C$22, $C$13, 100%, $E$13)</f>
        <v>3.4527000000000001</v>
      </c>
      <c r="H45" s="68">
        <f>5.2313* CHOOSE(CONTROL!$C$22, $C$13, 100%, $E$13)</f>
        <v>5.2313000000000001</v>
      </c>
      <c r="I45" s="68">
        <f>5.238 * CHOOSE(CONTROL!$C$22, $C$13, 100%, $E$13)</f>
        <v>5.2380000000000004</v>
      </c>
      <c r="J45" s="68">
        <f>3.358 * CHOOSE(CONTROL!$C$22, $C$13, 100%, $E$13)</f>
        <v>3.3580000000000001</v>
      </c>
      <c r="K45" s="68">
        <f>3.3647 * CHOOSE(CONTROL!$C$22, $C$13, 100%, $E$13)</f>
        <v>3.3647</v>
      </c>
      <c r="L45" s="4"/>
      <c r="M45" s="68"/>
      <c r="N45" s="68"/>
    </row>
    <row r="46" spans="1:14" ht="15">
      <c r="A46" s="13">
        <v>42522</v>
      </c>
      <c r="B46" s="67">
        <f>2.8398 * CHOOSE(CONTROL!$C$22, $C$13, 100%, $E$13)</f>
        <v>2.8397999999999999</v>
      </c>
      <c r="C46" s="67">
        <f>2.8398 * CHOOSE(CONTROL!$C$22, $C$13, 100%, $E$13)</f>
        <v>2.8397999999999999</v>
      </c>
      <c r="D46" s="67">
        <f>2.8453 * CHOOSE(CONTROL!$C$22, $C$13, 100%, $E$13)</f>
        <v>2.8452999999999999</v>
      </c>
      <c r="E46" s="68">
        <f>3.402 * CHOOSE(CONTROL!$C$22, $C$13, 100%, $E$13)</f>
        <v>3.4020000000000001</v>
      </c>
      <c r="F46" s="68">
        <f>3.446 * CHOOSE(CONTROL!$C$22, $C$13, 100%, $E$13)</f>
        <v>3.4460000000000002</v>
      </c>
      <c r="G46" s="68">
        <f>3.4527 * CHOOSE(CONTROL!$C$22, $C$13, 100%, $E$13)</f>
        <v>3.4527000000000001</v>
      </c>
      <c r="H46" s="68">
        <f>5.2422* CHOOSE(CONTROL!$C$22, $C$13, 100%, $E$13)</f>
        <v>5.2422000000000004</v>
      </c>
      <c r="I46" s="68">
        <f>5.2489 * CHOOSE(CONTROL!$C$22, $C$13, 100%, $E$13)</f>
        <v>5.2488999999999999</v>
      </c>
      <c r="J46" s="68">
        <f>3.402 * CHOOSE(CONTROL!$C$22, $C$13, 100%, $E$13)</f>
        <v>3.4020000000000001</v>
      </c>
      <c r="K46" s="68">
        <f>3.4087 * CHOOSE(CONTROL!$C$22, $C$13, 100%, $E$13)</f>
        <v>3.4087000000000001</v>
      </c>
      <c r="L46" s="4"/>
      <c r="M46" s="68"/>
      <c r="N46" s="68"/>
    </row>
    <row r="47" spans="1:14" ht="15">
      <c r="A47" s="13">
        <v>42552</v>
      </c>
      <c r="B47" s="67">
        <f>2.8772 * CHOOSE(CONTROL!$C$22, $C$13, 100%, $E$13)</f>
        <v>2.8772000000000002</v>
      </c>
      <c r="C47" s="67">
        <f>2.8772 * CHOOSE(CONTROL!$C$22, $C$13, 100%, $E$13)</f>
        <v>2.8772000000000002</v>
      </c>
      <c r="D47" s="67">
        <f>2.8827 * CHOOSE(CONTROL!$C$22, $C$13, 100%, $E$13)</f>
        <v>2.8826999999999998</v>
      </c>
      <c r="E47" s="68">
        <f>3.3756 * CHOOSE(CONTROL!$C$22, $C$13, 100%, $E$13)</f>
        <v>3.3755999999999999</v>
      </c>
      <c r="F47" s="68">
        <f>3.446 * CHOOSE(CONTROL!$C$22, $C$13, 100%, $E$13)</f>
        <v>3.4460000000000002</v>
      </c>
      <c r="G47" s="68">
        <f>3.4527 * CHOOSE(CONTROL!$C$22, $C$13, 100%, $E$13)</f>
        <v>3.4527000000000001</v>
      </c>
      <c r="H47" s="68">
        <f>5.2531* CHOOSE(CONTROL!$C$22, $C$13, 100%, $E$13)</f>
        <v>5.2530999999999999</v>
      </c>
      <c r="I47" s="68">
        <f>5.2598 * CHOOSE(CONTROL!$C$22, $C$13, 100%, $E$13)</f>
        <v>5.2598000000000003</v>
      </c>
      <c r="J47" s="68">
        <f>3.3756 * CHOOSE(CONTROL!$C$22, $C$13, 100%, $E$13)</f>
        <v>3.3755999999999999</v>
      </c>
      <c r="K47" s="68">
        <f>3.3823 * CHOOSE(CONTROL!$C$22, $C$13, 100%, $E$13)</f>
        <v>3.3822999999999999</v>
      </c>
      <c r="L47" s="4"/>
      <c r="M47" s="4"/>
      <c r="N47" s="4"/>
    </row>
    <row r="48" spans="1:14" ht="15">
      <c r="A48" s="13">
        <v>42583</v>
      </c>
      <c r="B48" s="67">
        <f>2.9046 * CHOOSE(CONTROL!$C$22, $C$13, 100%, $E$13)</f>
        <v>2.9045999999999998</v>
      </c>
      <c r="C48" s="67">
        <f>2.9046 * CHOOSE(CONTROL!$C$22, $C$13, 100%, $E$13)</f>
        <v>2.9045999999999998</v>
      </c>
      <c r="D48" s="67">
        <f>2.9101 * CHOOSE(CONTROL!$C$22, $C$13, 100%, $E$13)</f>
        <v>2.9100999999999999</v>
      </c>
      <c r="E48" s="68">
        <f>3.4108 * CHOOSE(CONTROL!$C$22, $C$13, 100%, $E$13)</f>
        <v>3.4108000000000001</v>
      </c>
      <c r="F48" s="68">
        <f>3.446 * CHOOSE(CONTROL!$C$22, $C$13, 100%, $E$13)</f>
        <v>3.4460000000000002</v>
      </c>
      <c r="G48" s="68">
        <f>3.4527 * CHOOSE(CONTROL!$C$22, $C$13, 100%, $E$13)</f>
        <v>3.4527000000000001</v>
      </c>
      <c r="H48" s="68">
        <f>5.264* CHOOSE(CONTROL!$C$22, $C$13, 100%, $E$13)</f>
        <v>5.2640000000000002</v>
      </c>
      <c r="I48" s="68">
        <f>5.2708 * CHOOSE(CONTROL!$C$22, $C$13, 100%, $E$13)</f>
        <v>5.2708000000000004</v>
      </c>
      <c r="J48" s="68">
        <f>3.4108 * CHOOSE(CONTROL!$C$22, $C$13, 100%, $E$13)</f>
        <v>3.4108000000000001</v>
      </c>
      <c r="K48" s="68">
        <f>3.4175 * CHOOSE(CONTROL!$C$22, $C$13, 100%, $E$13)</f>
        <v>3.4175</v>
      </c>
      <c r="L48" s="4"/>
      <c r="M48" s="4"/>
      <c r="N48" s="4"/>
    </row>
    <row r="49" spans="1:14" ht="15">
      <c r="A49" s="13">
        <v>42614</v>
      </c>
      <c r="B49" s="67">
        <f>2.8985 * CHOOSE(CONTROL!$C$22, $C$13, 100%, $E$13)</f>
        <v>2.8984999999999999</v>
      </c>
      <c r="C49" s="67">
        <f>2.8985 * CHOOSE(CONTROL!$C$22, $C$13, 100%, $E$13)</f>
        <v>2.8984999999999999</v>
      </c>
      <c r="D49" s="67">
        <f>2.904 * CHOOSE(CONTROL!$C$22, $C$13, 100%, $E$13)</f>
        <v>2.9039999999999999</v>
      </c>
      <c r="E49" s="68">
        <f>3.358 * CHOOSE(CONTROL!$C$22, $C$13, 100%, $E$13)</f>
        <v>3.3580000000000001</v>
      </c>
      <c r="F49" s="68">
        <f>3.446 * CHOOSE(CONTROL!$C$22, $C$13, 100%, $E$13)</f>
        <v>3.4460000000000002</v>
      </c>
      <c r="G49" s="68">
        <f>3.4527 * CHOOSE(CONTROL!$C$22, $C$13, 100%, $E$13)</f>
        <v>3.4527000000000001</v>
      </c>
      <c r="H49" s="68">
        <f>5.275* CHOOSE(CONTROL!$C$22, $C$13, 100%, $E$13)</f>
        <v>5.2750000000000004</v>
      </c>
      <c r="I49" s="68">
        <f>5.2817 * CHOOSE(CONTROL!$C$22, $C$13, 100%, $E$13)</f>
        <v>5.2816999999999998</v>
      </c>
      <c r="J49" s="68">
        <f>3.358 * CHOOSE(CONTROL!$C$22, $C$13, 100%, $E$13)</f>
        <v>3.3580000000000001</v>
      </c>
      <c r="K49" s="68">
        <f>3.3647 * CHOOSE(CONTROL!$C$22, $C$13, 100%, $E$13)</f>
        <v>3.3647</v>
      </c>
      <c r="L49" s="4"/>
      <c r="M49" s="4"/>
      <c r="N49" s="4"/>
    </row>
    <row r="50" spans="1:14" ht="15">
      <c r="A50" s="13">
        <v>42644</v>
      </c>
      <c r="B50" s="67">
        <f>2.9149 * CHOOSE(CONTROL!$C$22, $C$13, 100%, $E$13)</f>
        <v>2.9148999999999998</v>
      </c>
      <c r="C50" s="67">
        <f>2.9149 * CHOOSE(CONTROL!$C$22, $C$13, 100%, $E$13)</f>
        <v>2.9148999999999998</v>
      </c>
      <c r="D50" s="67">
        <f>2.9188 * CHOOSE(CONTROL!$C$22, $C$13, 100%, $E$13)</f>
        <v>2.9188000000000001</v>
      </c>
      <c r="E50" s="68">
        <f>3.3756 * CHOOSE(CONTROL!$C$22, $C$13, 100%, $E$13)</f>
        <v>3.3755999999999999</v>
      </c>
      <c r="F50" s="68">
        <f>3.446 * CHOOSE(CONTROL!$C$22, $C$13, 100%, $E$13)</f>
        <v>3.4460000000000002</v>
      </c>
      <c r="G50" s="68">
        <f>3.4508 * CHOOSE(CONTROL!$C$22, $C$13, 100%, $E$13)</f>
        <v>3.4508000000000001</v>
      </c>
      <c r="H50" s="68">
        <f>5.286* CHOOSE(CONTROL!$C$22, $C$13, 100%, $E$13)</f>
        <v>5.2859999999999996</v>
      </c>
      <c r="I50" s="68">
        <f>5.2908 * CHOOSE(CONTROL!$C$22, $C$13, 100%, $E$13)</f>
        <v>5.2907999999999999</v>
      </c>
      <c r="J50" s="68">
        <f>3.3756 * CHOOSE(CONTROL!$C$22, $C$13, 100%, $E$13)</f>
        <v>3.3755999999999999</v>
      </c>
      <c r="K50" s="68">
        <f>3.3804 * CHOOSE(CONTROL!$C$22, $C$13, 100%, $E$13)</f>
        <v>3.3803999999999998</v>
      </c>
      <c r="L50" s="4"/>
      <c r="M50" s="4"/>
      <c r="N50" s="4"/>
    </row>
    <row r="51" spans="1:14" ht="15">
      <c r="A51" s="13">
        <v>42675</v>
      </c>
      <c r="B51" s="67">
        <f>2.918 * CHOOSE(CONTROL!$C$22, $C$13, 100%, $E$13)</f>
        <v>2.9180000000000001</v>
      </c>
      <c r="C51" s="67">
        <f>2.918 * CHOOSE(CONTROL!$C$22, $C$13, 100%, $E$13)</f>
        <v>2.9180000000000001</v>
      </c>
      <c r="D51" s="67">
        <f>2.9219 * CHOOSE(CONTROL!$C$22, $C$13, 100%, $E$13)</f>
        <v>2.9218999999999999</v>
      </c>
      <c r="E51" s="68">
        <f>3.402 * CHOOSE(CONTROL!$C$22, $C$13, 100%, $E$13)</f>
        <v>3.4020000000000001</v>
      </c>
      <c r="F51" s="68">
        <f>3.446 * CHOOSE(CONTROL!$C$22, $C$13, 100%, $E$13)</f>
        <v>3.4460000000000002</v>
      </c>
      <c r="G51" s="68">
        <f>3.4508 * CHOOSE(CONTROL!$C$22, $C$13, 100%, $E$13)</f>
        <v>3.4508000000000001</v>
      </c>
      <c r="H51" s="68">
        <f>5.297* CHOOSE(CONTROL!$C$22, $C$13, 100%, $E$13)</f>
        <v>5.2969999999999997</v>
      </c>
      <c r="I51" s="68">
        <f>5.3018 * CHOOSE(CONTROL!$C$22, $C$13, 100%, $E$13)</f>
        <v>5.3018000000000001</v>
      </c>
      <c r="J51" s="68">
        <f>3.402 * CHOOSE(CONTROL!$C$22, $C$13, 100%, $E$13)</f>
        <v>3.4020000000000001</v>
      </c>
      <c r="K51" s="68">
        <f>3.4068 * CHOOSE(CONTROL!$C$22, $C$13, 100%, $E$13)</f>
        <v>3.4068000000000001</v>
      </c>
      <c r="L51" s="4"/>
      <c r="M51" s="4"/>
      <c r="N51" s="4"/>
    </row>
    <row r="52" spans="1:14" ht="15">
      <c r="A52" s="13">
        <v>42705</v>
      </c>
      <c r="B52" s="67">
        <f>2.921 * CHOOSE(CONTROL!$C$22, $C$13, 100%, $E$13)</f>
        <v>2.9209999999999998</v>
      </c>
      <c r="C52" s="67">
        <f>2.921 * CHOOSE(CONTROL!$C$22, $C$13, 100%, $E$13)</f>
        <v>2.9209999999999998</v>
      </c>
      <c r="D52" s="67">
        <f>2.9249 * CHOOSE(CONTROL!$C$22, $C$13, 100%, $E$13)</f>
        <v>2.9249000000000001</v>
      </c>
      <c r="E52" s="68">
        <f>3.446 * CHOOSE(CONTROL!$C$22, $C$13, 100%, $E$13)</f>
        <v>3.4460000000000002</v>
      </c>
      <c r="F52" s="68">
        <f>3.446 * CHOOSE(CONTROL!$C$22, $C$13, 100%, $E$13)</f>
        <v>3.4460000000000002</v>
      </c>
      <c r="G52" s="68">
        <f>3.4508 * CHOOSE(CONTROL!$C$22, $C$13, 100%, $E$13)</f>
        <v>3.4508000000000001</v>
      </c>
      <c r="H52" s="68">
        <f>5.308* CHOOSE(CONTROL!$C$22, $C$13, 100%, $E$13)</f>
        <v>5.3079999999999998</v>
      </c>
      <c r="I52" s="68">
        <f>5.3128 * CHOOSE(CONTROL!$C$22, $C$13, 100%, $E$13)</f>
        <v>5.3128000000000002</v>
      </c>
      <c r="J52" s="68">
        <f>3.446 * CHOOSE(CONTROL!$C$22, $C$13, 100%, $E$13)</f>
        <v>3.4460000000000002</v>
      </c>
      <c r="K52" s="68">
        <f>3.4508 * CHOOSE(CONTROL!$C$22, $C$13, 100%, $E$13)</f>
        <v>3.4508000000000001</v>
      </c>
      <c r="L52" s="4"/>
      <c r="M52" s="4"/>
      <c r="N52" s="4"/>
    </row>
    <row r="53" spans="1:14" ht="15">
      <c r="A53" s="13">
        <v>42736</v>
      </c>
      <c r="B53" s="67">
        <f>2.9632 * CHOOSE(CONTROL!$C$22, $C$13, 100%, $E$13)</f>
        <v>2.9632000000000001</v>
      </c>
      <c r="C53" s="67">
        <f>2.9632 * CHOOSE(CONTROL!$C$22, $C$13, 100%, $E$13)</f>
        <v>2.9632000000000001</v>
      </c>
      <c r="D53" s="67">
        <f>2.9671 * CHOOSE(CONTROL!$C$22, $C$13, 100%, $E$13)</f>
        <v>2.9670999999999998</v>
      </c>
      <c r="E53" s="68">
        <f>3.5517 * CHOOSE(CONTROL!$C$22, $C$13, 100%, $E$13)</f>
        <v>3.5516999999999999</v>
      </c>
      <c r="F53" s="68">
        <f>3.5517 * CHOOSE(CONTROL!$C$22, $C$13, 100%, $E$13)</f>
        <v>3.5516999999999999</v>
      </c>
      <c r="G53" s="68">
        <f>3.5564 * CHOOSE(CONTROL!$C$22, $C$13, 100%, $E$13)</f>
        <v>3.5564</v>
      </c>
      <c r="H53" s="68">
        <f>5.3191* CHOOSE(CONTROL!$C$22, $C$13, 100%, $E$13)</f>
        <v>5.3190999999999997</v>
      </c>
      <c r="I53" s="68">
        <f>5.3239 * CHOOSE(CONTROL!$C$22, $C$13, 100%, $E$13)</f>
        <v>5.3239000000000001</v>
      </c>
      <c r="J53" s="68">
        <f>3.5517 * CHOOSE(CONTROL!$C$22, $C$13, 100%, $E$13)</f>
        <v>3.5516999999999999</v>
      </c>
      <c r="K53" s="68">
        <f>3.5564 * CHOOSE(CONTROL!$C$22, $C$13, 100%, $E$13)</f>
        <v>3.5564</v>
      </c>
      <c r="L53" s="4"/>
      <c r="M53" s="4"/>
      <c r="N53" s="4"/>
    </row>
    <row r="54" spans="1:14" ht="15">
      <c r="A54" s="13">
        <v>42767</v>
      </c>
      <c r="B54" s="67">
        <f>2.9601 * CHOOSE(CONTROL!$C$22, $C$13, 100%, $E$13)</f>
        <v>2.9601000000000002</v>
      </c>
      <c r="C54" s="67">
        <f>2.9601 * CHOOSE(CONTROL!$C$22, $C$13, 100%, $E$13)</f>
        <v>2.9601000000000002</v>
      </c>
      <c r="D54" s="67">
        <f>2.964 * CHOOSE(CONTROL!$C$22, $C$13, 100%, $E$13)</f>
        <v>2.964</v>
      </c>
      <c r="E54" s="68">
        <f>3.521 * CHOOSE(CONTROL!$C$22, $C$13, 100%, $E$13)</f>
        <v>3.5209999999999999</v>
      </c>
      <c r="F54" s="68">
        <f>3.521 * CHOOSE(CONTROL!$C$22, $C$13, 100%, $E$13)</f>
        <v>3.5209999999999999</v>
      </c>
      <c r="G54" s="68">
        <f>3.5258 * CHOOSE(CONTROL!$C$22, $C$13, 100%, $E$13)</f>
        <v>3.5257999999999998</v>
      </c>
      <c r="H54" s="68">
        <f>5.3302* CHOOSE(CONTROL!$C$22, $C$13, 100%, $E$13)</f>
        <v>5.3301999999999996</v>
      </c>
      <c r="I54" s="68">
        <f>5.335 * CHOOSE(CONTROL!$C$22, $C$13, 100%, $E$13)</f>
        <v>5.335</v>
      </c>
      <c r="J54" s="68">
        <f>3.521 * CHOOSE(CONTROL!$C$22, $C$13, 100%, $E$13)</f>
        <v>3.5209999999999999</v>
      </c>
      <c r="K54" s="68">
        <f>3.5258 * CHOOSE(CONTROL!$C$22, $C$13, 100%, $E$13)</f>
        <v>3.5257999999999998</v>
      </c>
      <c r="L54" s="4"/>
      <c r="M54" s="4"/>
      <c r="N54" s="4"/>
    </row>
    <row r="55" spans="1:14" ht="15">
      <c r="A55" s="13">
        <v>42795</v>
      </c>
      <c r="B55" s="67">
        <f>2.9571 * CHOOSE(CONTROL!$C$22, $C$13, 100%, $E$13)</f>
        <v>2.9571000000000001</v>
      </c>
      <c r="C55" s="67">
        <f>2.9571 * CHOOSE(CONTROL!$C$22, $C$13, 100%, $E$13)</f>
        <v>2.9571000000000001</v>
      </c>
      <c r="D55" s="67">
        <f>2.961 * CHOOSE(CONTROL!$C$22, $C$13, 100%, $E$13)</f>
        <v>2.9609999999999999</v>
      </c>
      <c r="E55" s="68">
        <f>3.5414 * CHOOSE(CONTROL!$C$22, $C$13, 100%, $E$13)</f>
        <v>3.5413999999999999</v>
      </c>
      <c r="F55" s="68">
        <f>3.5414 * CHOOSE(CONTROL!$C$22, $C$13, 100%, $E$13)</f>
        <v>3.5413999999999999</v>
      </c>
      <c r="G55" s="68">
        <f>3.5462 * CHOOSE(CONTROL!$C$22, $C$13, 100%, $E$13)</f>
        <v>3.5461999999999998</v>
      </c>
      <c r="H55" s="68">
        <f>5.3413* CHOOSE(CONTROL!$C$22, $C$13, 100%, $E$13)</f>
        <v>5.3413000000000004</v>
      </c>
      <c r="I55" s="68">
        <f>5.3461 * CHOOSE(CONTROL!$C$22, $C$13, 100%, $E$13)</f>
        <v>5.3460999999999999</v>
      </c>
      <c r="J55" s="68">
        <f>3.5414 * CHOOSE(CONTROL!$C$22, $C$13, 100%, $E$13)</f>
        <v>3.5413999999999999</v>
      </c>
      <c r="K55" s="68">
        <f>3.5462 * CHOOSE(CONTROL!$C$22, $C$13, 100%, $E$13)</f>
        <v>3.5461999999999998</v>
      </c>
      <c r="L55" s="4"/>
      <c r="M55" s="4"/>
      <c r="N55" s="4"/>
    </row>
    <row r="56" spans="1:14" ht="15">
      <c r="A56" s="13">
        <v>42826</v>
      </c>
      <c r="B56" s="67">
        <f>2.9537 * CHOOSE(CONTROL!$C$22, $C$13, 100%, $E$13)</f>
        <v>2.9537</v>
      </c>
      <c r="C56" s="67">
        <f>2.9537 * CHOOSE(CONTROL!$C$22, $C$13, 100%, $E$13)</f>
        <v>2.9537</v>
      </c>
      <c r="D56" s="67">
        <f>2.9576 * CHOOSE(CONTROL!$C$22, $C$13, 100%, $E$13)</f>
        <v>2.9575999999999998</v>
      </c>
      <c r="E56" s="68">
        <f>3.5613 * CHOOSE(CONTROL!$C$22, $C$13, 100%, $E$13)</f>
        <v>3.5613000000000001</v>
      </c>
      <c r="F56" s="68">
        <f>3.5613 * CHOOSE(CONTROL!$C$22, $C$13, 100%, $E$13)</f>
        <v>3.5613000000000001</v>
      </c>
      <c r="G56" s="68">
        <f>3.5661 * CHOOSE(CONTROL!$C$22, $C$13, 100%, $E$13)</f>
        <v>3.5661</v>
      </c>
      <c r="H56" s="68">
        <f>5.3524* CHOOSE(CONTROL!$C$22, $C$13, 100%, $E$13)</f>
        <v>5.3524000000000003</v>
      </c>
      <c r="I56" s="68">
        <f>5.3572 * CHOOSE(CONTROL!$C$22, $C$13, 100%, $E$13)</f>
        <v>5.3571999999999997</v>
      </c>
      <c r="J56" s="68">
        <f>3.5613 * CHOOSE(CONTROL!$C$22, $C$13, 100%, $E$13)</f>
        <v>3.5613000000000001</v>
      </c>
      <c r="K56" s="68">
        <f>3.5661 * CHOOSE(CONTROL!$C$22, $C$13, 100%, $E$13)</f>
        <v>3.5661</v>
      </c>
      <c r="L56" s="4"/>
      <c r="M56" s="4"/>
      <c r="N56" s="4"/>
    </row>
    <row r="57" spans="1:14" ht="15">
      <c r="A57" s="13">
        <v>42856</v>
      </c>
      <c r="B57" s="67">
        <f>2.9537 * CHOOSE(CONTROL!$C$22, $C$13, 100%, $E$13)</f>
        <v>2.9537</v>
      </c>
      <c r="C57" s="67">
        <f>2.9537 * CHOOSE(CONTROL!$C$22, $C$13, 100%, $E$13)</f>
        <v>2.9537</v>
      </c>
      <c r="D57" s="67">
        <f>2.9592 * CHOOSE(CONTROL!$C$22, $C$13, 100%, $E$13)</f>
        <v>2.9592000000000001</v>
      </c>
      <c r="E57" s="68">
        <f>3.5704 * CHOOSE(CONTROL!$C$22, $C$13, 100%, $E$13)</f>
        <v>3.5703999999999998</v>
      </c>
      <c r="F57" s="68">
        <f>3.5704 * CHOOSE(CONTROL!$C$22, $C$13, 100%, $E$13)</f>
        <v>3.5703999999999998</v>
      </c>
      <c r="G57" s="68">
        <f>3.5771 * CHOOSE(CONTROL!$C$22, $C$13, 100%, $E$13)</f>
        <v>3.5771000000000002</v>
      </c>
      <c r="H57" s="68">
        <f>5.3636* CHOOSE(CONTROL!$C$22, $C$13, 100%, $E$13)</f>
        <v>5.3635999999999999</v>
      </c>
      <c r="I57" s="68">
        <f>5.3703 * CHOOSE(CONTROL!$C$22, $C$13, 100%, $E$13)</f>
        <v>5.3703000000000003</v>
      </c>
      <c r="J57" s="68">
        <f>3.5704 * CHOOSE(CONTROL!$C$22, $C$13, 100%, $E$13)</f>
        <v>3.5703999999999998</v>
      </c>
      <c r="K57" s="68">
        <f>3.5771 * CHOOSE(CONTROL!$C$22, $C$13, 100%, $E$13)</f>
        <v>3.5771000000000002</v>
      </c>
      <c r="L57" s="4"/>
      <c r="M57" s="4"/>
      <c r="N57" s="4"/>
    </row>
    <row r="58" spans="1:14" ht="15">
      <c r="A58" s="13">
        <v>42887</v>
      </c>
      <c r="B58" s="67">
        <f>2.9598 * CHOOSE(CONTROL!$C$22, $C$13, 100%, $E$13)</f>
        <v>2.9598</v>
      </c>
      <c r="C58" s="67">
        <f>2.9598 * CHOOSE(CONTROL!$C$22, $C$13, 100%, $E$13)</f>
        <v>2.9598</v>
      </c>
      <c r="D58" s="67">
        <f>2.9653 * CHOOSE(CONTROL!$C$22, $C$13, 100%, $E$13)</f>
        <v>2.9653</v>
      </c>
      <c r="E58" s="68">
        <f>3.5655 * CHOOSE(CONTROL!$C$22, $C$13, 100%, $E$13)</f>
        <v>3.5655000000000001</v>
      </c>
      <c r="F58" s="68">
        <f>3.5655 * CHOOSE(CONTROL!$C$22, $C$13, 100%, $E$13)</f>
        <v>3.5655000000000001</v>
      </c>
      <c r="G58" s="68">
        <f>3.5723 * CHOOSE(CONTROL!$C$22, $C$13, 100%, $E$13)</f>
        <v>3.5722999999999998</v>
      </c>
      <c r="H58" s="68">
        <f>5.3747* CHOOSE(CONTROL!$C$22, $C$13, 100%, $E$13)</f>
        <v>5.3746999999999998</v>
      </c>
      <c r="I58" s="68">
        <f>5.3815 * CHOOSE(CONTROL!$C$22, $C$13, 100%, $E$13)</f>
        <v>5.3815</v>
      </c>
      <c r="J58" s="68">
        <f>3.5655 * CHOOSE(CONTROL!$C$22, $C$13, 100%, $E$13)</f>
        <v>3.5655000000000001</v>
      </c>
      <c r="K58" s="68">
        <f>3.5723 * CHOOSE(CONTROL!$C$22, $C$13, 100%, $E$13)</f>
        <v>3.5722999999999998</v>
      </c>
      <c r="L58" s="4"/>
      <c r="M58" s="4"/>
      <c r="N58" s="4"/>
    </row>
    <row r="59" spans="1:14" ht="15">
      <c r="A59" s="13">
        <v>42917</v>
      </c>
      <c r="B59" s="67">
        <f>3.0475 * CHOOSE(CONTROL!$C$22, $C$13, 100%, $E$13)</f>
        <v>3.0474999999999999</v>
      </c>
      <c r="C59" s="67">
        <f>3.0475 * CHOOSE(CONTROL!$C$22, $C$13, 100%, $E$13)</f>
        <v>3.0474999999999999</v>
      </c>
      <c r="D59" s="67">
        <f>3.053 * CHOOSE(CONTROL!$C$22, $C$13, 100%, $E$13)</f>
        <v>3.0529999999999999</v>
      </c>
      <c r="E59" s="68">
        <f>3.6468 * CHOOSE(CONTROL!$C$22, $C$13, 100%, $E$13)</f>
        <v>3.6467999999999998</v>
      </c>
      <c r="F59" s="68">
        <f>3.6468 * CHOOSE(CONTROL!$C$22, $C$13, 100%, $E$13)</f>
        <v>3.6467999999999998</v>
      </c>
      <c r="G59" s="68">
        <f>3.6535 * CHOOSE(CONTROL!$C$22, $C$13, 100%, $E$13)</f>
        <v>3.6535000000000002</v>
      </c>
      <c r="H59" s="68">
        <f>5.3859* CHOOSE(CONTROL!$C$22, $C$13, 100%, $E$13)</f>
        <v>5.3859000000000004</v>
      </c>
      <c r="I59" s="68">
        <f>5.3927 * CHOOSE(CONTROL!$C$22, $C$13, 100%, $E$13)</f>
        <v>5.3926999999999996</v>
      </c>
      <c r="J59" s="68">
        <f>3.6468 * CHOOSE(CONTROL!$C$22, $C$13, 100%, $E$13)</f>
        <v>3.6467999999999998</v>
      </c>
      <c r="K59" s="68">
        <f>3.6535 * CHOOSE(CONTROL!$C$22, $C$13, 100%, $E$13)</f>
        <v>3.6535000000000002</v>
      </c>
      <c r="L59" s="4"/>
      <c r="M59" s="4"/>
      <c r="N59" s="4"/>
    </row>
    <row r="60" spans="1:14" ht="15">
      <c r="A60" s="13">
        <v>42948</v>
      </c>
      <c r="B60" s="67">
        <f>3.0542 * CHOOSE(CONTROL!$C$22, $C$13, 100%, $E$13)</f>
        <v>3.0541999999999998</v>
      </c>
      <c r="C60" s="67">
        <f>3.0542 * CHOOSE(CONTROL!$C$22, $C$13, 100%, $E$13)</f>
        <v>3.0541999999999998</v>
      </c>
      <c r="D60" s="67">
        <f>3.0597 * CHOOSE(CONTROL!$C$22, $C$13, 100%, $E$13)</f>
        <v>3.0596999999999999</v>
      </c>
      <c r="E60" s="68">
        <f>3.6242 * CHOOSE(CONTROL!$C$22, $C$13, 100%, $E$13)</f>
        <v>3.6242000000000001</v>
      </c>
      <c r="F60" s="68">
        <f>3.6242 * CHOOSE(CONTROL!$C$22, $C$13, 100%, $E$13)</f>
        <v>3.6242000000000001</v>
      </c>
      <c r="G60" s="68">
        <f>3.631 * CHOOSE(CONTROL!$C$22, $C$13, 100%, $E$13)</f>
        <v>3.6309999999999998</v>
      </c>
      <c r="H60" s="68">
        <f>5.3972* CHOOSE(CONTROL!$C$22, $C$13, 100%, $E$13)</f>
        <v>5.3971999999999998</v>
      </c>
      <c r="I60" s="68">
        <f>5.4039 * CHOOSE(CONTROL!$C$22, $C$13, 100%, $E$13)</f>
        <v>5.4039000000000001</v>
      </c>
      <c r="J60" s="68">
        <f>3.6242 * CHOOSE(CONTROL!$C$22, $C$13, 100%, $E$13)</f>
        <v>3.6242000000000001</v>
      </c>
      <c r="K60" s="68">
        <f>3.631 * CHOOSE(CONTROL!$C$22, $C$13, 100%, $E$13)</f>
        <v>3.6309999999999998</v>
      </c>
      <c r="L60" s="4"/>
      <c r="M60" s="4"/>
      <c r="N60" s="4"/>
    </row>
    <row r="61" spans="1:14" ht="15">
      <c r="A61" s="13">
        <v>42979</v>
      </c>
      <c r="B61" s="67">
        <f>3.0512 * CHOOSE(CONTROL!$C$22, $C$13, 100%, $E$13)</f>
        <v>3.0512000000000001</v>
      </c>
      <c r="C61" s="67">
        <f>3.0512 * CHOOSE(CONTROL!$C$22, $C$13, 100%, $E$13)</f>
        <v>3.0512000000000001</v>
      </c>
      <c r="D61" s="67">
        <f>3.0567 * CHOOSE(CONTROL!$C$22, $C$13, 100%, $E$13)</f>
        <v>3.0567000000000002</v>
      </c>
      <c r="E61" s="68">
        <f>3.6191 * CHOOSE(CONTROL!$C$22, $C$13, 100%, $E$13)</f>
        <v>3.6191</v>
      </c>
      <c r="F61" s="68">
        <f>3.6191 * CHOOSE(CONTROL!$C$22, $C$13, 100%, $E$13)</f>
        <v>3.6191</v>
      </c>
      <c r="G61" s="68">
        <f>3.6258 * CHOOSE(CONTROL!$C$22, $C$13, 100%, $E$13)</f>
        <v>3.6257999999999999</v>
      </c>
      <c r="H61" s="68">
        <f>5.4084* CHOOSE(CONTROL!$C$22, $C$13, 100%, $E$13)</f>
        <v>5.4084000000000003</v>
      </c>
      <c r="I61" s="68">
        <f>5.4151 * CHOOSE(CONTROL!$C$22, $C$13, 100%, $E$13)</f>
        <v>5.4150999999999998</v>
      </c>
      <c r="J61" s="68">
        <f>3.6191 * CHOOSE(CONTROL!$C$22, $C$13, 100%, $E$13)</f>
        <v>3.6191</v>
      </c>
      <c r="K61" s="68">
        <f>3.6258 * CHOOSE(CONTROL!$C$22, $C$13, 100%, $E$13)</f>
        <v>3.6257999999999999</v>
      </c>
      <c r="L61" s="4"/>
      <c r="M61" s="4"/>
      <c r="N61" s="4"/>
    </row>
    <row r="62" spans="1:14" ht="15">
      <c r="A62" s="13">
        <v>43009</v>
      </c>
      <c r="B62" s="67">
        <f>3.0423 * CHOOSE(CONTROL!$C$22, $C$13, 100%, $E$13)</f>
        <v>3.0423</v>
      </c>
      <c r="C62" s="67">
        <f>3.0423 * CHOOSE(CONTROL!$C$22, $C$13, 100%, $E$13)</f>
        <v>3.0423</v>
      </c>
      <c r="D62" s="67">
        <f>3.0462 * CHOOSE(CONTROL!$C$22, $C$13, 100%, $E$13)</f>
        <v>3.0461999999999998</v>
      </c>
      <c r="E62" s="68">
        <f>3.6178 * CHOOSE(CONTROL!$C$22, $C$13, 100%, $E$13)</f>
        <v>3.6177999999999999</v>
      </c>
      <c r="F62" s="68">
        <f>3.6178 * CHOOSE(CONTROL!$C$22, $C$13, 100%, $E$13)</f>
        <v>3.6177999999999999</v>
      </c>
      <c r="G62" s="68">
        <f>3.6225 * CHOOSE(CONTROL!$C$22, $C$13, 100%, $E$13)</f>
        <v>3.6225000000000001</v>
      </c>
      <c r="H62" s="68">
        <f>5.4197* CHOOSE(CONTROL!$C$22, $C$13, 100%, $E$13)</f>
        <v>5.4196999999999997</v>
      </c>
      <c r="I62" s="68">
        <f>5.4244 * CHOOSE(CONTROL!$C$22, $C$13, 100%, $E$13)</f>
        <v>5.4244000000000003</v>
      </c>
      <c r="J62" s="68">
        <f>3.6178 * CHOOSE(CONTROL!$C$22, $C$13, 100%, $E$13)</f>
        <v>3.6177999999999999</v>
      </c>
      <c r="K62" s="68">
        <f>3.6225 * CHOOSE(CONTROL!$C$22, $C$13, 100%, $E$13)</f>
        <v>3.6225000000000001</v>
      </c>
      <c r="L62" s="4"/>
      <c r="M62" s="4"/>
      <c r="N62" s="4"/>
    </row>
    <row r="63" spans="1:14" ht="15">
      <c r="A63" s="13">
        <v>43040</v>
      </c>
      <c r="B63" s="67">
        <f>3.0454 * CHOOSE(CONTROL!$C$22, $C$13, 100%, $E$13)</f>
        <v>3.0453999999999999</v>
      </c>
      <c r="C63" s="67">
        <f>3.0454 * CHOOSE(CONTROL!$C$22, $C$13, 100%, $E$13)</f>
        <v>3.0453999999999999</v>
      </c>
      <c r="D63" s="67">
        <f>3.0493 * CHOOSE(CONTROL!$C$22, $C$13, 100%, $E$13)</f>
        <v>3.0493000000000001</v>
      </c>
      <c r="E63" s="68">
        <f>3.6259 * CHOOSE(CONTROL!$C$22, $C$13, 100%, $E$13)</f>
        <v>3.6259000000000001</v>
      </c>
      <c r="F63" s="68">
        <f>3.6259 * CHOOSE(CONTROL!$C$22, $C$13, 100%, $E$13)</f>
        <v>3.6259000000000001</v>
      </c>
      <c r="G63" s="68">
        <f>3.6307 * CHOOSE(CONTROL!$C$22, $C$13, 100%, $E$13)</f>
        <v>3.6307</v>
      </c>
      <c r="H63" s="68">
        <f>5.431* CHOOSE(CONTROL!$C$22, $C$13, 100%, $E$13)</f>
        <v>5.431</v>
      </c>
      <c r="I63" s="68">
        <f>5.4357 * CHOOSE(CONTROL!$C$22, $C$13, 100%, $E$13)</f>
        <v>5.4356999999999998</v>
      </c>
      <c r="J63" s="68">
        <f>3.6259 * CHOOSE(CONTROL!$C$22, $C$13, 100%, $E$13)</f>
        <v>3.6259000000000001</v>
      </c>
      <c r="K63" s="68">
        <f>3.6307 * CHOOSE(CONTROL!$C$22, $C$13, 100%, $E$13)</f>
        <v>3.6307</v>
      </c>
      <c r="L63" s="4"/>
      <c r="M63" s="4"/>
      <c r="N63" s="4"/>
    </row>
    <row r="64" spans="1:14" ht="15">
      <c r="A64" s="13">
        <v>43070</v>
      </c>
      <c r="B64" s="67">
        <f>3.0454 * CHOOSE(CONTROL!$C$22, $C$13, 100%, $E$13)</f>
        <v>3.0453999999999999</v>
      </c>
      <c r="C64" s="67">
        <f>3.0454 * CHOOSE(CONTROL!$C$22, $C$13, 100%, $E$13)</f>
        <v>3.0453999999999999</v>
      </c>
      <c r="D64" s="67">
        <f>3.0493 * CHOOSE(CONTROL!$C$22, $C$13, 100%, $E$13)</f>
        <v>3.0493000000000001</v>
      </c>
      <c r="E64" s="68">
        <f>3.6108 * CHOOSE(CONTROL!$C$22, $C$13, 100%, $E$13)</f>
        <v>3.6107999999999998</v>
      </c>
      <c r="F64" s="68">
        <f>3.6108 * CHOOSE(CONTROL!$C$22, $C$13, 100%, $E$13)</f>
        <v>3.6107999999999998</v>
      </c>
      <c r="G64" s="68">
        <f>3.6156 * CHOOSE(CONTROL!$C$22, $C$13, 100%, $E$13)</f>
        <v>3.6156000000000001</v>
      </c>
      <c r="H64" s="68">
        <f>5.4423* CHOOSE(CONTROL!$C$22, $C$13, 100%, $E$13)</f>
        <v>5.4423000000000004</v>
      </c>
      <c r="I64" s="68">
        <f>5.447 * CHOOSE(CONTROL!$C$22, $C$13, 100%, $E$13)</f>
        <v>5.4470000000000001</v>
      </c>
      <c r="J64" s="68">
        <f>3.6108 * CHOOSE(CONTROL!$C$22, $C$13, 100%, $E$13)</f>
        <v>3.6107999999999998</v>
      </c>
      <c r="K64" s="68">
        <f>3.6156 * CHOOSE(CONTROL!$C$22, $C$13, 100%, $E$13)</f>
        <v>3.6156000000000001</v>
      </c>
      <c r="L64" s="4"/>
      <c r="M64" s="4"/>
      <c r="N64" s="4"/>
    </row>
    <row r="65" spans="1:14" ht="15">
      <c r="A65" s="13">
        <v>43101</v>
      </c>
      <c r="B65" s="67">
        <f>3.0799 * CHOOSE(CONTROL!$C$22, $C$13, 100%, $E$13)</f>
        <v>3.0798999999999999</v>
      </c>
      <c r="C65" s="67">
        <f>3.0799 * CHOOSE(CONTROL!$C$22, $C$13, 100%, $E$13)</f>
        <v>3.0798999999999999</v>
      </c>
      <c r="D65" s="67">
        <f>3.0838 * CHOOSE(CONTROL!$C$22, $C$13, 100%, $E$13)</f>
        <v>3.0838000000000001</v>
      </c>
      <c r="E65" s="68">
        <f>3.7211 * CHOOSE(CONTROL!$C$22, $C$13, 100%, $E$13)</f>
        <v>3.7210999999999999</v>
      </c>
      <c r="F65" s="68">
        <f>3.7211 * CHOOSE(CONTROL!$C$22, $C$13, 100%, $E$13)</f>
        <v>3.7210999999999999</v>
      </c>
      <c r="G65" s="68">
        <f>3.7259 * CHOOSE(CONTROL!$C$22, $C$13, 100%, $E$13)</f>
        <v>3.7259000000000002</v>
      </c>
      <c r="H65" s="68">
        <f>5.4536* CHOOSE(CONTROL!$C$22, $C$13, 100%, $E$13)</f>
        <v>5.4535999999999998</v>
      </c>
      <c r="I65" s="68">
        <f>5.4584 * CHOOSE(CONTROL!$C$22, $C$13, 100%, $E$13)</f>
        <v>5.4584000000000001</v>
      </c>
      <c r="J65" s="68">
        <f>3.7211 * CHOOSE(CONTROL!$C$22, $C$13, 100%, $E$13)</f>
        <v>3.7210999999999999</v>
      </c>
      <c r="K65" s="68">
        <f>3.7259 * CHOOSE(CONTROL!$C$22, $C$13, 100%, $E$13)</f>
        <v>3.7259000000000002</v>
      </c>
      <c r="L65" s="4"/>
      <c r="M65" s="4"/>
      <c r="N65" s="4"/>
    </row>
    <row r="66" spans="1:14" ht="15">
      <c r="A66" s="13">
        <v>43132</v>
      </c>
      <c r="B66" s="67">
        <f>3.0769 * CHOOSE(CONTROL!$C$22, $C$13, 100%, $E$13)</f>
        <v>3.0769000000000002</v>
      </c>
      <c r="C66" s="67">
        <f>3.0769 * CHOOSE(CONTROL!$C$22, $C$13, 100%, $E$13)</f>
        <v>3.0769000000000002</v>
      </c>
      <c r="D66" s="67">
        <f>3.0808 * CHOOSE(CONTROL!$C$22, $C$13, 100%, $E$13)</f>
        <v>3.0808</v>
      </c>
      <c r="E66" s="68">
        <f>3.6823 * CHOOSE(CONTROL!$C$22, $C$13, 100%, $E$13)</f>
        <v>3.6823000000000001</v>
      </c>
      <c r="F66" s="68">
        <f>3.6823 * CHOOSE(CONTROL!$C$22, $C$13, 100%, $E$13)</f>
        <v>3.6823000000000001</v>
      </c>
      <c r="G66" s="68">
        <f>3.687 * CHOOSE(CONTROL!$C$22, $C$13, 100%, $E$13)</f>
        <v>3.6869999999999998</v>
      </c>
      <c r="H66" s="68">
        <f>5.465* CHOOSE(CONTROL!$C$22, $C$13, 100%, $E$13)</f>
        <v>5.4649999999999999</v>
      </c>
      <c r="I66" s="68">
        <f>5.4697 * CHOOSE(CONTROL!$C$22, $C$13, 100%, $E$13)</f>
        <v>5.4696999999999996</v>
      </c>
      <c r="J66" s="68">
        <f>3.6823 * CHOOSE(CONTROL!$C$22, $C$13, 100%, $E$13)</f>
        <v>3.6823000000000001</v>
      </c>
      <c r="K66" s="68">
        <f>3.687 * CHOOSE(CONTROL!$C$22, $C$13, 100%, $E$13)</f>
        <v>3.6869999999999998</v>
      </c>
      <c r="L66" s="4"/>
      <c r="M66" s="4"/>
      <c r="N66" s="4"/>
    </row>
    <row r="67" spans="1:14" ht="15">
      <c r="A67" s="13">
        <v>43160</v>
      </c>
      <c r="B67" s="67">
        <f>3.0739 * CHOOSE(CONTROL!$C$22, $C$13, 100%, $E$13)</f>
        <v>3.0739000000000001</v>
      </c>
      <c r="C67" s="67">
        <f>3.0739 * CHOOSE(CONTROL!$C$22, $C$13, 100%, $E$13)</f>
        <v>3.0739000000000001</v>
      </c>
      <c r="D67" s="67">
        <f>3.0777 * CHOOSE(CONTROL!$C$22, $C$13, 100%, $E$13)</f>
        <v>3.0777000000000001</v>
      </c>
      <c r="E67" s="68">
        <f>3.7091 * CHOOSE(CONTROL!$C$22, $C$13, 100%, $E$13)</f>
        <v>3.7090999999999998</v>
      </c>
      <c r="F67" s="68">
        <f>3.7091 * CHOOSE(CONTROL!$C$22, $C$13, 100%, $E$13)</f>
        <v>3.7090999999999998</v>
      </c>
      <c r="G67" s="68">
        <f>3.7139 * CHOOSE(CONTROL!$C$22, $C$13, 100%, $E$13)</f>
        <v>3.7139000000000002</v>
      </c>
      <c r="H67" s="68">
        <f>5.4764* CHOOSE(CONTROL!$C$22, $C$13, 100%, $E$13)</f>
        <v>5.4763999999999999</v>
      </c>
      <c r="I67" s="68">
        <f>5.4811 * CHOOSE(CONTROL!$C$22, $C$13, 100%, $E$13)</f>
        <v>5.4810999999999996</v>
      </c>
      <c r="J67" s="68">
        <f>3.7091 * CHOOSE(CONTROL!$C$22, $C$13, 100%, $E$13)</f>
        <v>3.7090999999999998</v>
      </c>
      <c r="K67" s="68">
        <f>3.7139 * CHOOSE(CONTROL!$C$22, $C$13, 100%, $E$13)</f>
        <v>3.7139000000000002</v>
      </c>
      <c r="L67" s="4"/>
      <c r="M67" s="4"/>
      <c r="N67" s="4"/>
    </row>
    <row r="68" spans="1:14" ht="15">
      <c r="A68" s="13">
        <v>43191</v>
      </c>
      <c r="B68" s="67">
        <f>3.0705 * CHOOSE(CONTROL!$C$22, $C$13, 100%, $E$13)</f>
        <v>3.0705</v>
      </c>
      <c r="C68" s="67">
        <f>3.0705 * CHOOSE(CONTROL!$C$22, $C$13, 100%, $E$13)</f>
        <v>3.0705</v>
      </c>
      <c r="D68" s="67">
        <f>3.0744 * CHOOSE(CONTROL!$C$22, $C$13, 100%, $E$13)</f>
        <v>3.0743999999999998</v>
      </c>
      <c r="E68" s="68">
        <f>3.7359 * CHOOSE(CONTROL!$C$22, $C$13, 100%, $E$13)</f>
        <v>3.7359</v>
      </c>
      <c r="F68" s="68">
        <f>3.7359 * CHOOSE(CONTROL!$C$22, $C$13, 100%, $E$13)</f>
        <v>3.7359</v>
      </c>
      <c r="G68" s="68">
        <f>3.7407 * CHOOSE(CONTROL!$C$22, $C$13, 100%, $E$13)</f>
        <v>3.7406999999999999</v>
      </c>
      <c r="H68" s="68">
        <f>5.4878* CHOOSE(CONTROL!$C$22, $C$13, 100%, $E$13)</f>
        <v>5.4878</v>
      </c>
      <c r="I68" s="68">
        <f>5.4925 * CHOOSE(CONTROL!$C$22, $C$13, 100%, $E$13)</f>
        <v>5.4924999999999997</v>
      </c>
      <c r="J68" s="68">
        <f>3.7359 * CHOOSE(CONTROL!$C$22, $C$13, 100%, $E$13)</f>
        <v>3.7359</v>
      </c>
      <c r="K68" s="68">
        <f>3.7407 * CHOOSE(CONTROL!$C$22, $C$13, 100%, $E$13)</f>
        <v>3.7406999999999999</v>
      </c>
      <c r="L68" s="4"/>
      <c r="M68" s="4"/>
      <c r="N68" s="4"/>
    </row>
    <row r="69" spans="1:14" ht="15">
      <c r="A69" s="13">
        <v>43221</v>
      </c>
      <c r="B69" s="67">
        <f>3.0705 * CHOOSE(CONTROL!$C$22, $C$13, 100%, $E$13)</f>
        <v>3.0705</v>
      </c>
      <c r="C69" s="67">
        <f>3.0705 * CHOOSE(CONTROL!$C$22, $C$13, 100%, $E$13)</f>
        <v>3.0705</v>
      </c>
      <c r="D69" s="67">
        <f>3.076 * CHOOSE(CONTROL!$C$22, $C$13, 100%, $E$13)</f>
        <v>3.0760000000000001</v>
      </c>
      <c r="E69" s="68">
        <f>3.7476 * CHOOSE(CONTROL!$C$22, $C$13, 100%, $E$13)</f>
        <v>3.7475999999999998</v>
      </c>
      <c r="F69" s="68">
        <f>3.7476 * CHOOSE(CONTROL!$C$22, $C$13, 100%, $E$13)</f>
        <v>3.7475999999999998</v>
      </c>
      <c r="G69" s="68">
        <f>3.7543 * CHOOSE(CONTROL!$C$22, $C$13, 100%, $E$13)</f>
        <v>3.7543000000000002</v>
      </c>
      <c r="H69" s="68">
        <f>5.4992* CHOOSE(CONTROL!$C$22, $C$13, 100%, $E$13)</f>
        <v>5.4992000000000001</v>
      </c>
      <c r="I69" s="68">
        <f>5.5059 * CHOOSE(CONTROL!$C$22, $C$13, 100%, $E$13)</f>
        <v>5.5058999999999996</v>
      </c>
      <c r="J69" s="68">
        <f>3.7476 * CHOOSE(CONTROL!$C$22, $C$13, 100%, $E$13)</f>
        <v>3.7475999999999998</v>
      </c>
      <c r="K69" s="68">
        <f>3.7543 * CHOOSE(CONTROL!$C$22, $C$13, 100%, $E$13)</f>
        <v>3.7543000000000002</v>
      </c>
      <c r="L69" s="4"/>
      <c r="M69" s="4"/>
      <c r="N69" s="4"/>
    </row>
    <row r="70" spans="1:14" ht="15">
      <c r="A70" s="13">
        <v>43252</v>
      </c>
      <c r="B70" s="67">
        <f>3.0766 * CHOOSE(CONTROL!$C$22, $C$13, 100%, $E$13)</f>
        <v>3.0766</v>
      </c>
      <c r="C70" s="67">
        <f>3.0766 * CHOOSE(CONTROL!$C$22, $C$13, 100%, $E$13)</f>
        <v>3.0766</v>
      </c>
      <c r="D70" s="67">
        <f>3.0821 * CHOOSE(CONTROL!$C$22, $C$13, 100%, $E$13)</f>
        <v>3.0821000000000001</v>
      </c>
      <c r="E70" s="68">
        <f>3.7402 * CHOOSE(CONTROL!$C$22, $C$13, 100%, $E$13)</f>
        <v>3.7402000000000002</v>
      </c>
      <c r="F70" s="68">
        <f>3.7402 * CHOOSE(CONTROL!$C$22, $C$13, 100%, $E$13)</f>
        <v>3.7402000000000002</v>
      </c>
      <c r="G70" s="68">
        <f>3.7469 * CHOOSE(CONTROL!$C$22, $C$13, 100%, $E$13)</f>
        <v>3.7469000000000001</v>
      </c>
      <c r="H70" s="68">
        <f>5.5107* CHOOSE(CONTROL!$C$22, $C$13, 100%, $E$13)</f>
        <v>5.5106999999999999</v>
      </c>
      <c r="I70" s="68">
        <f>5.5174 * CHOOSE(CONTROL!$C$22, $C$13, 100%, $E$13)</f>
        <v>5.5174000000000003</v>
      </c>
      <c r="J70" s="68">
        <f>3.7402 * CHOOSE(CONTROL!$C$22, $C$13, 100%, $E$13)</f>
        <v>3.7402000000000002</v>
      </c>
      <c r="K70" s="68">
        <f>3.7469 * CHOOSE(CONTROL!$C$22, $C$13, 100%, $E$13)</f>
        <v>3.7469000000000001</v>
      </c>
      <c r="L70" s="4"/>
      <c r="M70" s="4"/>
      <c r="N70" s="4"/>
    </row>
    <row r="71" spans="1:14" ht="15">
      <c r="A71" s="13">
        <v>43282</v>
      </c>
      <c r="B71" s="67">
        <f>3.1468 * CHOOSE(CONTROL!$C$22, $C$13, 100%, $E$13)</f>
        <v>3.1467999999999998</v>
      </c>
      <c r="C71" s="67">
        <f>3.1468 * CHOOSE(CONTROL!$C$22, $C$13, 100%, $E$13)</f>
        <v>3.1467999999999998</v>
      </c>
      <c r="D71" s="67">
        <f>3.1523 * CHOOSE(CONTROL!$C$22, $C$13, 100%, $E$13)</f>
        <v>3.1522999999999999</v>
      </c>
      <c r="E71" s="68">
        <f>3.7912 * CHOOSE(CONTROL!$C$22, $C$13, 100%, $E$13)</f>
        <v>3.7911999999999999</v>
      </c>
      <c r="F71" s="68">
        <f>3.7912 * CHOOSE(CONTROL!$C$22, $C$13, 100%, $E$13)</f>
        <v>3.7911999999999999</v>
      </c>
      <c r="G71" s="68">
        <f>3.798 * CHOOSE(CONTROL!$C$22, $C$13, 100%, $E$13)</f>
        <v>3.798</v>
      </c>
      <c r="H71" s="68">
        <f>5.5221* CHOOSE(CONTROL!$C$22, $C$13, 100%, $E$13)</f>
        <v>5.5221</v>
      </c>
      <c r="I71" s="68">
        <f>5.5289 * CHOOSE(CONTROL!$C$22, $C$13, 100%, $E$13)</f>
        <v>5.5289000000000001</v>
      </c>
      <c r="J71" s="68">
        <f>3.7912 * CHOOSE(CONTROL!$C$22, $C$13, 100%, $E$13)</f>
        <v>3.7911999999999999</v>
      </c>
      <c r="K71" s="68">
        <f>3.798 * CHOOSE(CONTROL!$C$22, $C$13, 100%, $E$13)</f>
        <v>3.798</v>
      </c>
      <c r="L71" s="4"/>
      <c r="M71" s="4"/>
      <c r="N71" s="4"/>
    </row>
    <row r="72" spans="1:14" ht="15">
      <c r="A72" s="13">
        <v>43313</v>
      </c>
      <c r="B72" s="67">
        <f>3.1535 * CHOOSE(CONTROL!$C$22, $C$13, 100%, $E$13)</f>
        <v>3.1535000000000002</v>
      </c>
      <c r="C72" s="67">
        <f>3.1535 * CHOOSE(CONTROL!$C$22, $C$13, 100%, $E$13)</f>
        <v>3.1535000000000002</v>
      </c>
      <c r="D72" s="67">
        <f>3.159 * CHOOSE(CONTROL!$C$22, $C$13, 100%, $E$13)</f>
        <v>3.1589999999999998</v>
      </c>
      <c r="E72" s="68">
        <f>3.7609 * CHOOSE(CONTROL!$C$22, $C$13, 100%, $E$13)</f>
        <v>3.7608999999999999</v>
      </c>
      <c r="F72" s="68">
        <f>3.7609 * CHOOSE(CONTROL!$C$22, $C$13, 100%, $E$13)</f>
        <v>3.7608999999999999</v>
      </c>
      <c r="G72" s="68">
        <f>3.7677 * CHOOSE(CONTROL!$C$22, $C$13, 100%, $E$13)</f>
        <v>3.7677</v>
      </c>
      <c r="H72" s="68">
        <f>5.5336* CHOOSE(CONTROL!$C$22, $C$13, 100%, $E$13)</f>
        <v>5.5335999999999999</v>
      </c>
      <c r="I72" s="68">
        <f>5.5404 * CHOOSE(CONTROL!$C$22, $C$13, 100%, $E$13)</f>
        <v>5.5404</v>
      </c>
      <c r="J72" s="68">
        <f>3.7609 * CHOOSE(CONTROL!$C$22, $C$13, 100%, $E$13)</f>
        <v>3.7608999999999999</v>
      </c>
      <c r="K72" s="68">
        <f>3.7677 * CHOOSE(CONTROL!$C$22, $C$13, 100%, $E$13)</f>
        <v>3.7677</v>
      </c>
      <c r="L72" s="4"/>
      <c r="M72" s="4"/>
      <c r="N72" s="4"/>
    </row>
    <row r="73" spans="1:14" ht="15">
      <c r="A73" s="13">
        <v>43344</v>
      </c>
      <c r="B73" s="67">
        <f>3.1505 * CHOOSE(CONTROL!$C$22, $C$13, 100%, $E$13)</f>
        <v>3.1505000000000001</v>
      </c>
      <c r="C73" s="67">
        <f>3.1505 * CHOOSE(CONTROL!$C$22, $C$13, 100%, $E$13)</f>
        <v>3.1505000000000001</v>
      </c>
      <c r="D73" s="67">
        <f>3.156 * CHOOSE(CONTROL!$C$22, $C$13, 100%, $E$13)</f>
        <v>3.1560000000000001</v>
      </c>
      <c r="E73" s="68">
        <f>3.7549 * CHOOSE(CONTROL!$C$22, $C$13, 100%, $E$13)</f>
        <v>3.7549000000000001</v>
      </c>
      <c r="F73" s="68">
        <f>3.7549 * CHOOSE(CONTROL!$C$22, $C$13, 100%, $E$13)</f>
        <v>3.7549000000000001</v>
      </c>
      <c r="G73" s="68">
        <f>3.7617 * CHOOSE(CONTROL!$C$22, $C$13, 100%, $E$13)</f>
        <v>3.7616999999999998</v>
      </c>
      <c r="H73" s="68">
        <f>5.5452* CHOOSE(CONTROL!$C$22, $C$13, 100%, $E$13)</f>
        <v>5.5452000000000004</v>
      </c>
      <c r="I73" s="68">
        <f>5.5519 * CHOOSE(CONTROL!$C$22, $C$13, 100%, $E$13)</f>
        <v>5.5518999999999998</v>
      </c>
      <c r="J73" s="68">
        <f>3.7549 * CHOOSE(CONTROL!$C$22, $C$13, 100%, $E$13)</f>
        <v>3.7549000000000001</v>
      </c>
      <c r="K73" s="68">
        <f>3.7617 * CHOOSE(CONTROL!$C$22, $C$13, 100%, $E$13)</f>
        <v>3.7616999999999998</v>
      </c>
      <c r="L73" s="4"/>
      <c r="M73" s="4"/>
      <c r="N73" s="4"/>
    </row>
    <row r="74" spans="1:14" ht="15">
      <c r="A74" s="13">
        <v>43374</v>
      </c>
      <c r="B74" s="67">
        <f>3.1419 * CHOOSE(CONTROL!$C$22, $C$13, 100%, $E$13)</f>
        <v>3.1419000000000001</v>
      </c>
      <c r="C74" s="67">
        <f>3.1419 * CHOOSE(CONTROL!$C$22, $C$13, 100%, $E$13)</f>
        <v>3.1419000000000001</v>
      </c>
      <c r="D74" s="67">
        <f>3.1457 * CHOOSE(CONTROL!$C$22, $C$13, 100%, $E$13)</f>
        <v>3.1457000000000002</v>
      </c>
      <c r="E74" s="68">
        <f>3.7571 * CHOOSE(CONTROL!$C$22, $C$13, 100%, $E$13)</f>
        <v>3.7570999999999999</v>
      </c>
      <c r="F74" s="68">
        <f>3.7571 * CHOOSE(CONTROL!$C$22, $C$13, 100%, $E$13)</f>
        <v>3.7570999999999999</v>
      </c>
      <c r="G74" s="68">
        <f>3.7618 * CHOOSE(CONTROL!$C$22, $C$13, 100%, $E$13)</f>
        <v>3.7618</v>
      </c>
      <c r="H74" s="68">
        <f>5.5567* CHOOSE(CONTROL!$C$22, $C$13, 100%, $E$13)</f>
        <v>5.5567000000000002</v>
      </c>
      <c r="I74" s="68">
        <f>5.5615 * CHOOSE(CONTROL!$C$22, $C$13, 100%, $E$13)</f>
        <v>5.5614999999999997</v>
      </c>
      <c r="J74" s="68">
        <f>3.7571 * CHOOSE(CONTROL!$C$22, $C$13, 100%, $E$13)</f>
        <v>3.7570999999999999</v>
      </c>
      <c r="K74" s="68">
        <f>3.7618 * CHOOSE(CONTROL!$C$22, $C$13, 100%, $E$13)</f>
        <v>3.7618</v>
      </c>
      <c r="L74" s="4"/>
      <c r="M74" s="4"/>
      <c r="N74" s="4"/>
    </row>
    <row r="75" spans="1:14" ht="15">
      <c r="A75" s="13">
        <v>43405</v>
      </c>
      <c r="B75" s="67">
        <f>3.1449 * CHOOSE(CONTROL!$C$22, $C$13, 100%, $E$13)</f>
        <v>3.1448999999999998</v>
      </c>
      <c r="C75" s="67">
        <f>3.1449 * CHOOSE(CONTROL!$C$22, $C$13, 100%, $E$13)</f>
        <v>3.1448999999999998</v>
      </c>
      <c r="D75" s="67">
        <f>3.1488 * CHOOSE(CONTROL!$C$22, $C$13, 100%, $E$13)</f>
        <v>3.1488</v>
      </c>
      <c r="E75" s="68">
        <f>3.767 * CHOOSE(CONTROL!$C$22, $C$13, 100%, $E$13)</f>
        <v>3.7669999999999999</v>
      </c>
      <c r="F75" s="68">
        <f>3.767 * CHOOSE(CONTROL!$C$22, $C$13, 100%, $E$13)</f>
        <v>3.7669999999999999</v>
      </c>
      <c r="G75" s="68">
        <f>3.7717 * CHOOSE(CONTROL!$C$22, $C$13, 100%, $E$13)</f>
        <v>3.7717000000000001</v>
      </c>
      <c r="H75" s="68">
        <f>5.5683* CHOOSE(CONTROL!$C$22, $C$13, 100%, $E$13)</f>
        <v>5.5682999999999998</v>
      </c>
      <c r="I75" s="68">
        <f>5.5731 * CHOOSE(CONTROL!$C$22, $C$13, 100%, $E$13)</f>
        <v>5.5731000000000002</v>
      </c>
      <c r="J75" s="68">
        <f>3.767 * CHOOSE(CONTROL!$C$22, $C$13, 100%, $E$13)</f>
        <v>3.7669999999999999</v>
      </c>
      <c r="K75" s="68">
        <f>3.7717 * CHOOSE(CONTROL!$C$22, $C$13, 100%, $E$13)</f>
        <v>3.7717000000000001</v>
      </c>
      <c r="L75" s="4"/>
      <c r="M75" s="4"/>
      <c r="N75" s="4"/>
    </row>
    <row r="76" spans="1:14" ht="15">
      <c r="A76" s="13">
        <v>43435</v>
      </c>
      <c r="B76" s="67">
        <f>3.1449 * CHOOSE(CONTROL!$C$22, $C$13, 100%, $E$13)</f>
        <v>3.1448999999999998</v>
      </c>
      <c r="C76" s="67">
        <f>3.1449 * CHOOSE(CONTROL!$C$22, $C$13, 100%, $E$13)</f>
        <v>3.1448999999999998</v>
      </c>
      <c r="D76" s="67">
        <f>3.1488 * CHOOSE(CONTROL!$C$22, $C$13, 100%, $E$13)</f>
        <v>3.1488</v>
      </c>
      <c r="E76" s="68">
        <f>3.7475 * CHOOSE(CONTROL!$C$22, $C$13, 100%, $E$13)</f>
        <v>3.7475000000000001</v>
      </c>
      <c r="F76" s="68">
        <f>3.7475 * CHOOSE(CONTROL!$C$22, $C$13, 100%, $E$13)</f>
        <v>3.7475000000000001</v>
      </c>
      <c r="G76" s="68">
        <f>3.7523 * CHOOSE(CONTROL!$C$22, $C$13, 100%, $E$13)</f>
        <v>3.7523</v>
      </c>
      <c r="H76" s="68">
        <f>5.5799* CHOOSE(CONTROL!$C$22, $C$13, 100%, $E$13)</f>
        <v>5.5799000000000003</v>
      </c>
      <c r="I76" s="68">
        <f>5.5847 * CHOOSE(CONTROL!$C$22, $C$13, 100%, $E$13)</f>
        <v>5.5846999999999998</v>
      </c>
      <c r="J76" s="68">
        <f>3.7475 * CHOOSE(CONTROL!$C$22, $C$13, 100%, $E$13)</f>
        <v>3.7475000000000001</v>
      </c>
      <c r="K76" s="68">
        <f>3.7523 * CHOOSE(CONTROL!$C$22, $C$13, 100%, $E$13)</f>
        <v>3.7523</v>
      </c>
      <c r="L76" s="4"/>
      <c r="M76" s="4"/>
      <c r="N76" s="4"/>
    </row>
    <row r="77" spans="1:14" ht="15">
      <c r="A77" s="13">
        <v>43466</v>
      </c>
      <c r="B77" s="67">
        <f>3.1467 * CHOOSE(CONTROL!$C$22, $C$13, 100%, $E$13)</f>
        <v>3.1467000000000001</v>
      </c>
      <c r="C77" s="67">
        <f>3.1467 * CHOOSE(CONTROL!$C$22, $C$13, 100%, $E$13)</f>
        <v>3.1467000000000001</v>
      </c>
      <c r="D77" s="67">
        <f>3.1506 * CHOOSE(CONTROL!$C$22, $C$13, 100%, $E$13)</f>
        <v>3.1505999999999998</v>
      </c>
      <c r="E77" s="68">
        <f>3.844 * CHOOSE(CONTROL!$C$22, $C$13, 100%, $E$13)</f>
        <v>3.8439999999999999</v>
      </c>
      <c r="F77" s="68">
        <f>3.844 * CHOOSE(CONTROL!$C$22, $C$13, 100%, $E$13)</f>
        <v>3.8439999999999999</v>
      </c>
      <c r="G77" s="68">
        <f>3.8488 * CHOOSE(CONTROL!$C$22, $C$13, 100%, $E$13)</f>
        <v>3.8488000000000002</v>
      </c>
      <c r="H77" s="68">
        <f>5.5915* CHOOSE(CONTROL!$C$22, $C$13, 100%, $E$13)</f>
        <v>5.5914999999999999</v>
      </c>
      <c r="I77" s="68">
        <f>5.5963 * CHOOSE(CONTROL!$C$22, $C$13, 100%, $E$13)</f>
        <v>5.5963000000000003</v>
      </c>
      <c r="J77" s="68">
        <f>3.844 * CHOOSE(CONTROL!$C$22, $C$13, 100%, $E$13)</f>
        <v>3.8439999999999999</v>
      </c>
      <c r="K77" s="68">
        <f>3.8488 * CHOOSE(CONTROL!$C$22, $C$13, 100%, $E$13)</f>
        <v>3.8488000000000002</v>
      </c>
      <c r="L77" s="4"/>
      <c r="M77" s="4"/>
      <c r="N77" s="4"/>
    </row>
    <row r="78" spans="1:14" ht="15">
      <c r="A78" s="13">
        <v>43497</v>
      </c>
      <c r="B78" s="67">
        <f>3.1437 * CHOOSE(CONTROL!$C$22, $C$13, 100%, $E$13)</f>
        <v>3.1436999999999999</v>
      </c>
      <c r="C78" s="67">
        <f>3.1437 * CHOOSE(CONTROL!$C$22, $C$13, 100%, $E$13)</f>
        <v>3.1436999999999999</v>
      </c>
      <c r="D78" s="67">
        <f>3.1476 * CHOOSE(CONTROL!$C$22, $C$13, 100%, $E$13)</f>
        <v>3.1476000000000002</v>
      </c>
      <c r="E78" s="68">
        <f>3.7978 * CHOOSE(CONTROL!$C$22, $C$13, 100%, $E$13)</f>
        <v>3.7978000000000001</v>
      </c>
      <c r="F78" s="68">
        <f>3.7978 * CHOOSE(CONTROL!$C$22, $C$13, 100%, $E$13)</f>
        <v>3.7978000000000001</v>
      </c>
      <c r="G78" s="68">
        <f>3.8025 * CHOOSE(CONTROL!$C$22, $C$13, 100%, $E$13)</f>
        <v>3.8025000000000002</v>
      </c>
      <c r="H78" s="68">
        <f>5.6032* CHOOSE(CONTROL!$C$22, $C$13, 100%, $E$13)</f>
        <v>5.6032000000000002</v>
      </c>
      <c r="I78" s="68">
        <f>5.6079 * CHOOSE(CONTROL!$C$22, $C$13, 100%, $E$13)</f>
        <v>5.6078999999999999</v>
      </c>
      <c r="J78" s="68">
        <f>3.7978 * CHOOSE(CONTROL!$C$22, $C$13, 100%, $E$13)</f>
        <v>3.7978000000000001</v>
      </c>
      <c r="K78" s="68">
        <f>3.8025 * CHOOSE(CONTROL!$C$22, $C$13, 100%, $E$13)</f>
        <v>3.8025000000000002</v>
      </c>
      <c r="L78" s="4"/>
      <c r="M78" s="4"/>
      <c r="N78" s="4"/>
    </row>
    <row r="79" spans="1:14" ht="15">
      <c r="A79" s="13">
        <v>43525</v>
      </c>
      <c r="B79" s="67">
        <f>3.1407 * CHOOSE(CONTROL!$C$22, $C$13, 100%, $E$13)</f>
        <v>3.1406999999999998</v>
      </c>
      <c r="C79" s="67">
        <f>3.1407 * CHOOSE(CONTROL!$C$22, $C$13, 100%, $E$13)</f>
        <v>3.1406999999999998</v>
      </c>
      <c r="D79" s="67">
        <f>3.1445 * CHOOSE(CONTROL!$C$22, $C$13, 100%, $E$13)</f>
        <v>3.1444999999999999</v>
      </c>
      <c r="E79" s="68">
        <f>3.8304 * CHOOSE(CONTROL!$C$22, $C$13, 100%, $E$13)</f>
        <v>3.8304</v>
      </c>
      <c r="F79" s="68">
        <f>3.8304 * CHOOSE(CONTROL!$C$22, $C$13, 100%, $E$13)</f>
        <v>3.8304</v>
      </c>
      <c r="G79" s="68">
        <f>3.8352 * CHOOSE(CONTROL!$C$22, $C$13, 100%, $E$13)</f>
        <v>3.8351999999999999</v>
      </c>
      <c r="H79" s="68">
        <f>5.6148* CHOOSE(CONTROL!$C$22, $C$13, 100%, $E$13)</f>
        <v>5.6147999999999998</v>
      </c>
      <c r="I79" s="68">
        <f>5.6196 * CHOOSE(CONTROL!$C$22, $C$13, 100%, $E$13)</f>
        <v>5.6196000000000002</v>
      </c>
      <c r="J79" s="68">
        <f>3.8304 * CHOOSE(CONTROL!$C$22, $C$13, 100%, $E$13)</f>
        <v>3.8304</v>
      </c>
      <c r="K79" s="68">
        <f>3.8352 * CHOOSE(CONTROL!$C$22, $C$13, 100%, $E$13)</f>
        <v>3.8351999999999999</v>
      </c>
      <c r="L79" s="4"/>
      <c r="M79" s="4"/>
      <c r="N79" s="4"/>
    </row>
    <row r="80" spans="1:14" ht="15">
      <c r="A80" s="13">
        <v>43556</v>
      </c>
      <c r="B80" s="67">
        <f>3.1374 * CHOOSE(CONTROL!$C$22, $C$13, 100%, $E$13)</f>
        <v>3.1374</v>
      </c>
      <c r="C80" s="67">
        <f>3.1374 * CHOOSE(CONTROL!$C$22, $C$13, 100%, $E$13)</f>
        <v>3.1374</v>
      </c>
      <c r="D80" s="67">
        <f>3.1412 * CHOOSE(CONTROL!$C$22, $C$13, 100%, $E$13)</f>
        <v>3.1412</v>
      </c>
      <c r="E80" s="68">
        <f>3.8635 * CHOOSE(CONTROL!$C$22, $C$13, 100%, $E$13)</f>
        <v>3.8635000000000002</v>
      </c>
      <c r="F80" s="68">
        <f>3.8635 * CHOOSE(CONTROL!$C$22, $C$13, 100%, $E$13)</f>
        <v>3.8635000000000002</v>
      </c>
      <c r="G80" s="68">
        <f>3.8683 * CHOOSE(CONTROL!$C$22, $C$13, 100%, $E$13)</f>
        <v>3.8683000000000001</v>
      </c>
      <c r="H80" s="68">
        <f>5.6265* CHOOSE(CONTROL!$C$22, $C$13, 100%, $E$13)</f>
        <v>5.6265000000000001</v>
      </c>
      <c r="I80" s="68">
        <f>5.6313 * CHOOSE(CONTROL!$C$22, $C$13, 100%, $E$13)</f>
        <v>5.6313000000000004</v>
      </c>
      <c r="J80" s="68">
        <f>3.8635 * CHOOSE(CONTROL!$C$22, $C$13, 100%, $E$13)</f>
        <v>3.8635000000000002</v>
      </c>
      <c r="K80" s="68">
        <f>3.8683 * CHOOSE(CONTROL!$C$22, $C$13, 100%, $E$13)</f>
        <v>3.8683000000000001</v>
      </c>
      <c r="L80" s="4"/>
      <c r="M80" s="4"/>
      <c r="N80" s="4"/>
    </row>
    <row r="81" spans="1:14" ht="15">
      <c r="A81" s="13">
        <v>43586</v>
      </c>
      <c r="B81" s="67">
        <f>3.1374 * CHOOSE(CONTROL!$C$22, $C$13, 100%, $E$13)</f>
        <v>3.1374</v>
      </c>
      <c r="C81" s="67">
        <f>3.1374 * CHOOSE(CONTROL!$C$22, $C$13, 100%, $E$13)</f>
        <v>3.1374</v>
      </c>
      <c r="D81" s="67">
        <f>3.1429 * CHOOSE(CONTROL!$C$22, $C$13, 100%, $E$13)</f>
        <v>3.1429</v>
      </c>
      <c r="E81" s="68">
        <f>3.8775 * CHOOSE(CONTROL!$C$22, $C$13, 100%, $E$13)</f>
        <v>3.8774999999999999</v>
      </c>
      <c r="F81" s="68">
        <f>3.8775 * CHOOSE(CONTROL!$C$22, $C$13, 100%, $E$13)</f>
        <v>3.8774999999999999</v>
      </c>
      <c r="G81" s="68">
        <f>3.8843 * CHOOSE(CONTROL!$C$22, $C$13, 100%, $E$13)</f>
        <v>3.8843000000000001</v>
      </c>
      <c r="H81" s="68">
        <f>5.6383* CHOOSE(CONTROL!$C$22, $C$13, 100%, $E$13)</f>
        <v>5.6383000000000001</v>
      </c>
      <c r="I81" s="68">
        <f>5.645 * CHOOSE(CONTROL!$C$22, $C$13, 100%, $E$13)</f>
        <v>5.6449999999999996</v>
      </c>
      <c r="J81" s="68">
        <f>3.8775 * CHOOSE(CONTROL!$C$22, $C$13, 100%, $E$13)</f>
        <v>3.8774999999999999</v>
      </c>
      <c r="K81" s="68">
        <f>3.8843 * CHOOSE(CONTROL!$C$22, $C$13, 100%, $E$13)</f>
        <v>3.8843000000000001</v>
      </c>
      <c r="L81" s="4"/>
      <c r="M81" s="4"/>
      <c r="N81" s="4"/>
    </row>
    <row r="82" spans="1:14" ht="15">
      <c r="A82" s="13">
        <v>43617</v>
      </c>
      <c r="B82" s="67">
        <f>3.1435 * CHOOSE(CONTROL!$C$22, $C$13, 100%, $E$13)</f>
        <v>3.1435</v>
      </c>
      <c r="C82" s="67">
        <f>3.1435 * CHOOSE(CONTROL!$C$22, $C$13, 100%, $E$13)</f>
        <v>3.1435</v>
      </c>
      <c r="D82" s="67">
        <f>3.149 * CHOOSE(CONTROL!$C$22, $C$13, 100%, $E$13)</f>
        <v>3.149</v>
      </c>
      <c r="E82" s="68">
        <f>3.8678 * CHOOSE(CONTROL!$C$22, $C$13, 100%, $E$13)</f>
        <v>3.8677999999999999</v>
      </c>
      <c r="F82" s="68">
        <f>3.8678 * CHOOSE(CONTROL!$C$22, $C$13, 100%, $E$13)</f>
        <v>3.8677999999999999</v>
      </c>
      <c r="G82" s="68">
        <f>3.8745 * CHOOSE(CONTROL!$C$22, $C$13, 100%, $E$13)</f>
        <v>3.8744999999999998</v>
      </c>
      <c r="H82" s="68">
        <f>5.65* CHOOSE(CONTROL!$C$22, $C$13, 100%, $E$13)</f>
        <v>5.65</v>
      </c>
      <c r="I82" s="68">
        <f>5.6568 * CHOOSE(CONTROL!$C$22, $C$13, 100%, $E$13)</f>
        <v>5.6567999999999996</v>
      </c>
      <c r="J82" s="68">
        <f>3.8678 * CHOOSE(CONTROL!$C$22, $C$13, 100%, $E$13)</f>
        <v>3.8677999999999999</v>
      </c>
      <c r="K82" s="68">
        <f>3.8745 * CHOOSE(CONTROL!$C$22, $C$13, 100%, $E$13)</f>
        <v>3.8744999999999998</v>
      </c>
      <c r="L82" s="4"/>
      <c r="M82" s="4"/>
      <c r="N82" s="4"/>
    </row>
    <row r="83" spans="1:14" ht="15">
      <c r="A83" s="13">
        <v>43647</v>
      </c>
      <c r="B83" s="67">
        <f>3.1331 * CHOOSE(CONTROL!$C$22, $C$13, 100%, $E$13)</f>
        <v>3.1331000000000002</v>
      </c>
      <c r="C83" s="67">
        <f>3.1331 * CHOOSE(CONTROL!$C$22, $C$13, 100%, $E$13)</f>
        <v>3.1331000000000002</v>
      </c>
      <c r="D83" s="67">
        <f>3.1386 * CHOOSE(CONTROL!$C$22, $C$13, 100%, $E$13)</f>
        <v>3.1385999999999998</v>
      </c>
      <c r="E83" s="68">
        <f>3.901 * CHOOSE(CONTROL!$C$22, $C$13, 100%, $E$13)</f>
        <v>3.9009999999999998</v>
      </c>
      <c r="F83" s="68">
        <f>3.901 * CHOOSE(CONTROL!$C$22, $C$13, 100%, $E$13)</f>
        <v>3.9009999999999998</v>
      </c>
      <c r="G83" s="68">
        <f>3.9078 * CHOOSE(CONTROL!$C$22, $C$13, 100%, $E$13)</f>
        <v>3.9077999999999999</v>
      </c>
      <c r="H83" s="68">
        <f>5.6618* CHOOSE(CONTROL!$C$22, $C$13, 100%, $E$13)</f>
        <v>5.6618000000000004</v>
      </c>
      <c r="I83" s="68">
        <f>5.6685 * CHOOSE(CONTROL!$C$22, $C$13, 100%, $E$13)</f>
        <v>5.6684999999999999</v>
      </c>
      <c r="J83" s="68">
        <f>3.901 * CHOOSE(CONTROL!$C$22, $C$13, 100%, $E$13)</f>
        <v>3.9009999999999998</v>
      </c>
      <c r="K83" s="68">
        <f>3.9078 * CHOOSE(CONTROL!$C$22, $C$13, 100%, $E$13)</f>
        <v>3.9077999999999999</v>
      </c>
      <c r="L83" s="4"/>
      <c r="M83" s="4"/>
      <c r="N83" s="4"/>
    </row>
    <row r="84" spans="1:14" ht="15">
      <c r="A84" s="13">
        <v>43678</v>
      </c>
      <c r="B84" s="67">
        <f>3.1398 * CHOOSE(CONTROL!$C$22, $C$13, 100%, $E$13)</f>
        <v>3.1398000000000001</v>
      </c>
      <c r="C84" s="67">
        <f>3.1398 * CHOOSE(CONTROL!$C$22, $C$13, 100%, $E$13)</f>
        <v>3.1398000000000001</v>
      </c>
      <c r="D84" s="67">
        <f>3.1453 * CHOOSE(CONTROL!$C$22, $C$13, 100%, $E$13)</f>
        <v>3.1453000000000002</v>
      </c>
      <c r="E84" s="68">
        <f>3.8637 * CHOOSE(CONTROL!$C$22, $C$13, 100%, $E$13)</f>
        <v>3.8637000000000001</v>
      </c>
      <c r="F84" s="68">
        <f>3.8637 * CHOOSE(CONTROL!$C$22, $C$13, 100%, $E$13)</f>
        <v>3.8637000000000001</v>
      </c>
      <c r="G84" s="68">
        <f>3.8704 * CHOOSE(CONTROL!$C$22, $C$13, 100%, $E$13)</f>
        <v>3.8704000000000001</v>
      </c>
      <c r="H84" s="68">
        <f>5.6736* CHOOSE(CONTROL!$C$22, $C$13, 100%, $E$13)</f>
        <v>5.6736000000000004</v>
      </c>
      <c r="I84" s="68">
        <f>5.6803 * CHOOSE(CONTROL!$C$22, $C$13, 100%, $E$13)</f>
        <v>5.6802999999999999</v>
      </c>
      <c r="J84" s="68">
        <f>3.8637 * CHOOSE(CONTROL!$C$22, $C$13, 100%, $E$13)</f>
        <v>3.8637000000000001</v>
      </c>
      <c r="K84" s="68">
        <f>3.8704 * CHOOSE(CONTROL!$C$22, $C$13, 100%, $E$13)</f>
        <v>3.8704000000000001</v>
      </c>
      <c r="L84" s="4"/>
      <c r="M84" s="4"/>
      <c r="N84" s="4"/>
    </row>
    <row r="85" spans="1:14" ht="15">
      <c r="A85" s="13">
        <v>43709</v>
      </c>
      <c r="B85" s="67">
        <f>3.1367 * CHOOSE(CONTROL!$C$22, $C$13, 100%, $E$13)</f>
        <v>3.1366999999999998</v>
      </c>
      <c r="C85" s="67">
        <f>3.1367 * CHOOSE(CONTROL!$C$22, $C$13, 100%, $E$13)</f>
        <v>3.1366999999999998</v>
      </c>
      <c r="D85" s="67">
        <f>3.1422 * CHOOSE(CONTROL!$C$22, $C$13, 100%, $E$13)</f>
        <v>3.1421999999999999</v>
      </c>
      <c r="E85" s="68">
        <f>3.8569 * CHOOSE(CONTROL!$C$22, $C$13, 100%, $E$13)</f>
        <v>3.8569</v>
      </c>
      <c r="F85" s="68">
        <f>3.8569 * CHOOSE(CONTROL!$C$22, $C$13, 100%, $E$13)</f>
        <v>3.8569</v>
      </c>
      <c r="G85" s="68">
        <f>3.8636 * CHOOSE(CONTROL!$C$22, $C$13, 100%, $E$13)</f>
        <v>3.8635999999999999</v>
      </c>
      <c r="H85" s="68">
        <f>5.6854* CHOOSE(CONTROL!$C$22, $C$13, 100%, $E$13)</f>
        <v>5.6853999999999996</v>
      </c>
      <c r="I85" s="68">
        <f>5.6921 * CHOOSE(CONTROL!$C$22, $C$13, 100%, $E$13)</f>
        <v>5.6920999999999999</v>
      </c>
      <c r="J85" s="68">
        <f>3.8569 * CHOOSE(CONTROL!$C$22, $C$13, 100%, $E$13)</f>
        <v>3.8569</v>
      </c>
      <c r="K85" s="68">
        <f>3.8636 * CHOOSE(CONTROL!$C$22, $C$13, 100%, $E$13)</f>
        <v>3.8635999999999999</v>
      </c>
      <c r="L85" s="4"/>
      <c r="M85" s="4"/>
      <c r="N85" s="4"/>
    </row>
    <row r="86" spans="1:14" ht="15">
      <c r="A86" s="13">
        <v>43739</v>
      </c>
      <c r="B86" s="67">
        <f>3.1284 * CHOOSE(CONTROL!$C$22, $C$13, 100%, $E$13)</f>
        <v>3.1284000000000001</v>
      </c>
      <c r="C86" s="67">
        <f>3.1284 * CHOOSE(CONTROL!$C$22, $C$13, 100%, $E$13)</f>
        <v>3.1284000000000001</v>
      </c>
      <c r="D86" s="67">
        <f>3.1323 * CHOOSE(CONTROL!$C$22, $C$13, 100%, $E$13)</f>
        <v>3.1322999999999999</v>
      </c>
      <c r="E86" s="68">
        <f>3.8621 * CHOOSE(CONTROL!$C$22, $C$13, 100%, $E$13)</f>
        <v>3.8620999999999999</v>
      </c>
      <c r="F86" s="68">
        <f>3.8621 * CHOOSE(CONTROL!$C$22, $C$13, 100%, $E$13)</f>
        <v>3.8620999999999999</v>
      </c>
      <c r="G86" s="68">
        <f>3.8669 * CHOOSE(CONTROL!$C$22, $C$13, 100%, $E$13)</f>
        <v>3.8668999999999998</v>
      </c>
      <c r="H86" s="68">
        <f>5.6972* CHOOSE(CONTROL!$C$22, $C$13, 100%, $E$13)</f>
        <v>5.6971999999999996</v>
      </c>
      <c r="I86" s="68">
        <f>5.702 * CHOOSE(CONTROL!$C$22, $C$13, 100%, $E$13)</f>
        <v>5.702</v>
      </c>
      <c r="J86" s="68">
        <f>3.8621 * CHOOSE(CONTROL!$C$22, $C$13, 100%, $E$13)</f>
        <v>3.8620999999999999</v>
      </c>
      <c r="K86" s="68">
        <f>3.8669 * CHOOSE(CONTROL!$C$22, $C$13, 100%, $E$13)</f>
        <v>3.8668999999999998</v>
      </c>
      <c r="L86" s="4"/>
      <c r="M86" s="4"/>
      <c r="N86" s="4"/>
    </row>
    <row r="87" spans="1:14" ht="15">
      <c r="A87" s="13">
        <v>43770</v>
      </c>
      <c r="B87" s="67">
        <f>3.1314 * CHOOSE(CONTROL!$C$22, $C$13, 100%, $E$13)</f>
        <v>3.1314000000000002</v>
      </c>
      <c r="C87" s="67">
        <f>3.1314 * CHOOSE(CONTROL!$C$22, $C$13, 100%, $E$13)</f>
        <v>3.1314000000000002</v>
      </c>
      <c r="D87" s="67">
        <f>3.1353 * CHOOSE(CONTROL!$C$22, $C$13, 100%, $E$13)</f>
        <v>3.1353</v>
      </c>
      <c r="E87" s="68">
        <f>3.8736 * CHOOSE(CONTROL!$C$22, $C$13, 100%, $E$13)</f>
        <v>3.8736000000000002</v>
      </c>
      <c r="F87" s="68">
        <f>3.8736 * CHOOSE(CONTROL!$C$22, $C$13, 100%, $E$13)</f>
        <v>3.8736000000000002</v>
      </c>
      <c r="G87" s="68">
        <f>3.8784 * CHOOSE(CONTROL!$C$22, $C$13, 100%, $E$13)</f>
        <v>3.8784000000000001</v>
      </c>
      <c r="H87" s="68">
        <f>5.7091* CHOOSE(CONTROL!$C$22, $C$13, 100%, $E$13)</f>
        <v>5.7091000000000003</v>
      </c>
      <c r="I87" s="68">
        <f>5.7139 * CHOOSE(CONTROL!$C$22, $C$13, 100%, $E$13)</f>
        <v>5.7138999999999998</v>
      </c>
      <c r="J87" s="68">
        <f>3.8736 * CHOOSE(CONTROL!$C$22, $C$13, 100%, $E$13)</f>
        <v>3.8736000000000002</v>
      </c>
      <c r="K87" s="68">
        <f>3.8784 * CHOOSE(CONTROL!$C$22, $C$13, 100%, $E$13)</f>
        <v>3.8784000000000001</v>
      </c>
      <c r="L87" s="4"/>
      <c r="M87" s="4"/>
      <c r="N87" s="4"/>
    </row>
    <row r="88" spans="1:14" ht="15">
      <c r="A88" s="13">
        <v>43800</v>
      </c>
      <c r="B88" s="67">
        <f>3.1314 * CHOOSE(CONTROL!$C$22, $C$13, 100%, $E$13)</f>
        <v>3.1314000000000002</v>
      </c>
      <c r="C88" s="67">
        <f>3.1314 * CHOOSE(CONTROL!$C$22, $C$13, 100%, $E$13)</f>
        <v>3.1314000000000002</v>
      </c>
      <c r="D88" s="67">
        <f>3.1353 * CHOOSE(CONTROL!$C$22, $C$13, 100%, $E$13)</f>
        <v>3.1353</v>
      </c>
      <c r="E88" s="68">
        <f>3.8503 * CHOOSE(CONTROL!$C$22, $C$13, 100%, $E$13)</f>
        <v>3.8502999999999998</v>
      </c>
      <c r="F88" s="68">
        <f>3.8503 * CHOOSE(CONTROL!$C$22, $C$13, 100%, $E$13)</f>
        <v>3.8502999999999998</v>
      </c>
      <c r="G88" s="68">
        <f>3.855 * CHOOSE(CONTROL!$C$22, $C$13, 100%, $E$13)</f>
        <v>3.855</v>
      </c>
      <c r="H88" s="68">
        <f>5.721* CHOOSE(CONTROL!$C$22, $C$13, 100%, $E$13)</f>
        <v>5.7210000000000001</v>
      </c>
      <c r="I88" s="68">
        <f>5.7258 * CHOOSE(CONTROL!$C$22, $C$13, 100%, $E$13)</f>
        <v>5.7257999999999996</v>
      </c>
      <c r="J88" s="68">
        <f>3.8503 * CHOOSE(CONTROL!$C$22, $C$13, 100%, $E$13)</f>
        <v>3.8502999999999998</v>
      </c>
      <c r="K88" s="68">
        <f>3.855 * CHOOSE(CONTROL!$C$22, $C$13, 100%, $E$13)</f>
        <v>3.855</v>
      </c>
      <c r="L88" s="4"/>
      <c r="M88" s="4"/>
      <c r="N88" s="4"/>
    </row>
    <row r="89" spans="1:14" ht="15">
      <c r="A89" s="13">
        <v>43831</v>
      </c>
      <c r="B89" s="67">
        <f>3.167 * CHOOSE(CONTROL!$C$22, $C$13, 100%, $E$13)</f>
        <v>3.1669999999999998</v>
      </c>
      <c r="C89" s="67">
        <f>3.167 * CHOOSE(CONTROL!$C$22, $C$13, 100%, $E$13)</f>
        <v>3.1669999999999998</v>
      </c>
      <c r="D89" s="67">
        <f>3.1709 * CHOOSE(CONTROL!$C$22, $C$13, 100%, $E$13)</f>
        <v>3.1709000000000001</v>
      </c>
      <c r="E89" s="68">
        <f>3.8608 * CHOOSE(CONTROL!$C$22, $C$13, 100%, $E$13)</f>
        <v>3.8607999999999998</v>
      </c>
      <c r="F89" s="68">
        <f>3.8608 * CHOOSE(CONTROL!$C$22, $C$13, 100%, $E$13)</f>
        <v>3.8607999999999998</v>
      </c>
      <c r="G89" s="68">
        <f>3.8656 * CHOOSE(CONTROL!$C$22, $C$13, 100%, $E$13)</f>
        <v>3.8656000000000001</v>
      </c>
      <c r="H89" s="68">
        <f>5.7329* CHOOSE(CONTROL!$C$22, $C$13, 100%, $E$13)</f>
        <v>5.7328999999999999</v>
      </c>
      <c r="I89" s="68">
        <f>5.7377 * CHOOSE(CONTROL!$C$22, $C$13, 100%, $E$13)</f>
        <v>5.7377000000000002</v>
      </c>
      <c r="J89" s="68">
        <f>3.8608 * CHOOSE(CONTROL!$C$22, $C$13, 100%, $E$13)</f>
        <v>3.8607999999999998</v>
      </c>
      <c r="K89" s="68">
        <f>3.8656 * CHOOSE(CONTROL!$C$22, $C$13, 100%, $E$13)</f>
        <v>3.8656000000000001</v>
      </c>
      <c r="L89" s="4"/>
      <c r="M89" s="4"/>
      <c r="N89" s="4"/>
    </row>
    <row r="90" spans="1:14" ht="15">
      <c r="A90" s="13">
        <v>43862</v>
      </c>
      <c r="B90" s="67">
        <f>3.164 * CHOOSE(CONTROL!$C$22, $C$13, 100%, $E$13)</f>
        <v>3.1640000000000001</v>
      </c>
      <c r="C90" s="67">
        <f>3.164 * CHOOSE(CONTROL!$C$22, $C$13, 100%, $E$13)</f>
        <v>3.1640000000000001</v>
      </c>
      <c r="D90" s="67">
        <f>3.1678 * CHOOSE(CONTROL!$C$22, $C$13, 100%, $E$13)</f>
        <v>3.1678000000000002</v>
      </c>
      <c r="E90" s="68">
        <f>3.8041 * CHOOSE(CONTROL!$C$22, $C$13, 100%, $E$13)</f>
        <v>3.8041</v>
      </c>
      <c r="F90" s="68">
        <f>3.8041 * CHOOSE(CONTROL!$C$22, $C$13, 100%, $E$13)</f>
        <v>3.8041</v>
      </c>
      <c r="G90" s="68">
        <f>3.8088 * CHOOSE(CONTROL!$C$22, $C$13, 100%, $E$13)</f>
        <v>3.8088000000000002</v>
      </c>
      <c r="H90" s="68">
        <f>5.7449* CHOOSE(CONTROL!$C$22, $C$13, 100%, $E$13)</f>
        <v>5.7449000000000003</v>
      </c>
      <c r="I90" s="68">
        <f>5.7496 * CHOOSE(CONTROL!$C$22, $C$13, 100%, $E$13)</f>
        <v>5.7496</v>
      </c>
      <c r="J90" s="68">
        <f>3.8041 * CHOOSE(CONTROL!$C$22, $C$13, 100%, $E$13)</f>
        <v>3.8041</v>
      </c>
      <c r="K90" s="68">
        <f>3.8088 * CHOOSE(CONTROL!$C$22, $C$13, 100%, $E$13)</f>
        <v>3.8088000000000002</v>
      </c>
      <c r="L90" s="4"/>
      <c r="M90" s="4"/>
      <c r="N90" s="4"/>
    </row>
    <row r="91" spans="1:14" ht="15">
      <c r="A91" s="13">
        <v>43891</v>
      </c>
      <c r="B91" s="67">
        <f>3.1609 * CHOOSE(CONTROL!$C$22, $C$13, 100%, $E$13)</f>
        <v>3.1608999999999998</v>
      </c>
      <c r="C91" s="67">
        <f>3.1609 * CHOOSE(CONTROL!$C$22, $C$13, 100%, $E$13)</f>
        <v>3.1608999999999998</v>
      </c>
      <c r="D91" s="67">
        <f>3.1648 * CHOOSE(CONTROL!$C$22, $C$13, 100%, $E$13)</f>
        <v>3.1648000000000001</v>
      </c>
      <c r="E91" s="68">
        <f>3.845 * CHOOSE(CONTROL!$C$22, $C$13, 100%, $E$13)</f>
        <v>3.8450000000000002</v>
      </c>
      <c r="F91" s="68">
        <f>3.845 * CHOOSE(CONTROL!$C$22, $C$13, 100%, $E$13)</f>
        <v>3.8450000000000002</v>
      </c>
      <c r="G91" s="68">
        <f>3.8498 * CHOOSE(CONTROL!$C$22, $C$13, 100%, $E$13)</f>
        <v>3.8498000000000001</v>
      </c>
      <c r="H91" s="68">
        <f>5.7568* CHOOSE(CONTROL!$C$22, $C$13, 100%, $E$13)</f>
        <v>5.7568000000000001</v>
      </c>
      <c r="I91" s="68">
        <f>5.7616 * CHOOSE(CONTROL!$C$22, $C$13, 100%, $E$13)</f>
        <v>5.7615999999999996</v>
      </c>
      <c r="J91" s="68">
        <f>3.845 * CHOOSE(CONTROL!$C$22, $C$13, 100%, $E$13)</f>
        <v>3.8450000000000002</v>
      </c>
      <c r="K91" s="68">
        <f>3.8498 * CHOOSE(CONTROL!$C$22, $C$13, 100%, $E$13)</f>
        <v>3.8498000000000001</v>
      </c>
      <c r="L91" s="4"/>
      <c r="M91" s="4"/>
      <c r="N91" s="4"/>
    </row>
    <row r="92" spans="1:14" ht="15">
      <c r="A92" s="13">
        <v>43922</v>
      </c>
      <c r="B92" s="67">
        <f>3.1577 * CHOOSE(CONTROL!$C$22, $C$13, 100%, $E$13)</f>
        <v>3.1577000000000002</v>
      </c>
      <c r="C92" s="67">
        <f>3.1577 * CHOOSE(CONTROL!$C$22, $C$13, 100%, $E$13)</f>
        <v>3.1577000000000002</v>
      </c>
      <c r="D92" s="67">
        <f>3.1616 * CHOOSE(CONTROL!$C$22, $C$13, 100%, $E$13)</f>
        <v>3.1616</v>
      </c>
      <c r="E92" s="68">
        <f>3.8871 * CHOOSE(CONTROL!$C$22, $C$13, 100%, $E$13)</f>
        <v>3.8871000000000002</v>
      </c>
      <c r="F92" s="68">
        <f>3.8871 * CHOOSE(CONTROL!$C$22, $C$13, 100%, $E$13)</f>
        <v>3.8871000000000002</v>
      </c>
      <c r="G92" s="68">
        <f>3.8919 * CHOOSE(CONTROL!$C$22, $C$13, 100%, $E$13)</f>
        <v>3.8919000000000001</v>
      </c>
      <c r="H92" s="68">
        <f>5.7688* CHOOSE(CONTROL!$C$22, $C$13, 100%, $E$13)</f>
        <v>5.7687999999999997</v>
      </c>
      <c r="I92" s="68">
        <f>5.7736 * CHOOSE(CONTROL!$C$22, $C$13, 100%, $E$13)</f>
        <v>5.7736000000000001</v>
      </c>
      <c r="J92" s="68">
        <f>3.8871 * CHOOSE(CONTROL!$C$22, $C$13, 100%, $E$13)</f>
        <v>3.8871000000000002</v>
      </c>
      <c r="K92" s="68">
        <f>3.8919 * CHOOSE(CONTROL!$C$22, $C$13, 100%, $E$13)</f>
        <v>3.8919000000000001</v>
      </c>
      <c r="L92" s="4"/>
      <c r="M92" s="4"/>
      <c r="N92" s="4"/>
    </row>
    <row r="93" spans="1:14" ht="15">
      <c r="A93" s="13">
        <v>43952</v>
      </c>
      <c r="B93" s="67">
        <f>3.1577 * CHOOSE(CONTROL!$C$22, $C$13, 100%, $E$13)</f>
        <v>3.1577000000000002</v>
      </c>
      <c r="C93" s="67">
        <f>3.1577 * CHOOSE(CONTROL!$C$22, $C$13, 100%, $E$13)</f>
        <v>3.1577000000000002</v>
      </c>
      <c r="D93" s="67">
        <f>3.1632 * CHOOSE(CONTROL!$C$22, $C$13, 100%, $E$13)</f>
        <v>3.1631999999999998</v>
      </c>
      <c r="E93" s="68">
        <f>3.9044 * CHOOSE(CONTROL!$C$22, $C$13, 100%, $E$13)</f>
        <v>3.9043999999999999</v>
      </c>
      <c r="F93" s="68">
        <f>3.9044 * CHOOSE(CONTROL!$C$22, $C$13, 100%, $E$13)</f>
        <v>3.9043999999999999</v>
      </c>
      <c r="G93" s="68">
        <f>3.9112 * CHOOSE(CONTROL!$C$22, $C$13, 100%, $E$13)</f>
        <v>3.9112</v>
      </c>
      <c r="H93" s="68">
        <f>5.7809* CHOOSE(CONTROL!$C$22, $C$13, 100%, $E$13)</f>
        <v>5.7808999999999999</v>
      </c>
      <c r="I93" s="68">
        <f>5.7876 * CHOOSE(CONTROL!$C$22, $C$13, 100%, $E$13)</f>
        <v>5.7876000000000003</v>
      </c>
      <c r="J93" s="68">
        <f>3.9044 * CHOOSE(CONTROL!$C$22, $C$13, 100%, $E$13)</f>
        <v>3.9043999999999999</v>
      </c>
      <c r="K93" s="68">
        <f>3.9112 * CHOOSE(CONTROL!$C$22, $C$13, 100%, $E$13)</f>
        <v>3.9112</v>
      </c>
      <c r="L93" s="4"/>
      <c r="M93" s="4"/>
      <c r="N93" s="4"/>
    </row>
    <row r="94" spans="1:14" ht="15">
      <c r="A94" s="13">
        <v>43983</v>
      </c>
      <c r="B94" s="67">
        <f>3.1638 * CHOOSE(CONTROL!$C$22, $C$13, 100%, $E$13)</f>
        <v>3.1638000000000002</v>
      </c>
      <c r="C94" s="67">
        <f>3.1638 * CHOOSE(CONTROL!$C$22, $C$13, 100%, $E$13)</f>
        <v>3.1638000000000002</v>
      </c>
      <c r="D94" s="67">
        <f>3.1693 * CHOOSE(CONTROL!$C$22, $C$13, 100%, $E$13)</f>
        <v>3.1692999999999998</v>
      </c>
      <c r="E94" s="68">
        <f>3.8913 * CHOOSE(CONTROL!$C$22, $C$13, 100%, $E$13)</f>
        <v>3.8913000000000002</v>
      </c>
      <c r="F94" s="68">
        <f>3.8913 * CHOOSE(CONTROL!$C$22, $C$13, 100%, $E$13)</f>
        <v>3.8913000000000002</v>
      </c>
      <c r="G94" s="68">
        <f>3.8981 * CHOOSE(CONTROL!$C$22, $C$13, 100%, $E$13)</f>
        <v>3.8980999999999999</v>
      </c>
      <c r="H94" s="68">
        <f>5.7929* CHOOSE(CONTROL!$C$22, $C$13, 100%, $E$13)</f>
        <v>5.7929000000000004</v>
      </c>
      <c r="I94" s="68">
        <f>5.7996 * CHOOSE(CONTROL!$C$22, $C$13, 100%, $E$13)</f>
        <v>5.7995999999999999</v>
      </c>
      <c r="J94" s="68">
        <f>3.8913 * CHOOSE(CONTROL!$C$22, $C$13, 100%, $E$13)</f>
        <v>3.8913000000000002</v>
      </c>
      <c r="K94" s="68">
        <f>3.8981 * CHOOSE(CONTROL!$C$22, $C$13, 100%, $E$13)</f>
        <v>3.8980999999999999</v>
      </c>
      <c r="L94" s="4"/>
      <c r="M94" s="4"/>
      <c r="N94" s="4"/>
    </row>
    <row r="95" spans="1:14" ht="15">
      <c r="A95" s="13">
        <v>44013</v>
      </c>
      <c r="B95" s="67">
        <f>3.2348 * CHOOSE(CONTROL!$C$22, $C$13, 100%, $E$13)</f>
        <v>3.2347999999999999</v>
      </c>
      <c r="C95" s="67">
        <f>3.2348 * CHOOSE(CONTROL!$C$22, $C$13, 100%, $E$13)</f>
        <v>3.2347999999999999</v>
      </c>
      <c r="D95" s="67">
        <f>3.2403 * CHOOSE(CONTROL!$C$22, $C$13, 100%, $E$13)</f>
        <v>3.2403</v>
      </c>
      <c r="E95" s="68">
        <f>3.6313 * CHOOSE(CONTROL!$C$22, $C$13, 100%, $E$13)</f>
        <v>3.6313</v>
      </c>
      <c r="F95" s="68">
        <f>3.6313 * CHOOSE(CONTROL!$C$22, $C$13, 100%, $E$13)</f>
        <v>3.6313</v>
      </c>
      <c r="G95" s="68">
        <f>3.638 * CHOOSE(CONTROL!$C$22, $C$13, 100%, $E$13)</f>
        <v>3.6379999999999999</v>
      </c>
      <c r="H95" s="68">
        <f>5.805* CHOOSE(CONTROL!$C$22, $C$13, 100%, $E$13)</f>
        <v>5.8049999999999997</v>
      </c>
      <c r="I95" s="68">
        <f>5.8117 * CHOOSE(CONTROL!$C$22, $C$13, 100%, $E$13)</f>
        <v>5.8117000000000001</v>
      </c>
      <c r="J95" s="68">
        <f>3.6313 * CHOOSE(CONTROL!$C$22, $C$13, 100%, $E$13)</f>
        <v>3.6313</v>
      </c>
      <c r="K95" s="68">
        <f>3.638 * CHOOSE(CONTROL!$C$22, $C$13, 100%, $E$13)</f>
        <v>3.6379999999999999</v>
      </c>
      <c r="L95" s="4"/>
      <c r="M95" s="4"/>
      <c r="N95" s="4"/>
    </row>
    <row r="96" spans="1:14" ht="15">
      <c r="A96" s="13">
        <v>44044</v>
      </c>
      <c r="B96" s="67">
        <f>3.2415 * CHOOSE(CONTROL!$C$22, $C$13, 100%, $E$13)</f>
        <v>3.2414999999999998</v>
      </c>
      <c r="C96" s="67">
        <f>3.2415 * CHOOSE(CONTROL!$C$22, $C$13, 100%, $E$13)</f>
        <v>3.2414999999999998</v>
      </c>
      <c r="D96" s="67">
        <f>3.247 * CHOOSE(CONTROL!$C$22, $C$13, 100%, $E$13)</f>
        <v>3.2469999999999999</v>
      </c>
      <c r="E96" s="68">
        <f>3.5839 * CHOOSE(CONTROL!$C$22, $C$13, 100%, $E$13)</f>
        <v>3.5838999999999999</v>
      </c>
      <c r="F96" s="68">
        <f>3.5839 * CHOOSE(CONTROL!$C$22, $C$13, 100%, $E$13)</f>
        <v>3.5838999999999999</v>
      </c>
      <c r="G96" s="68">
        <f>3.5906 * CHOOSE(CONTROL!$C$22, $C$13, 100%, $E$13)</f>
        <v>3.5905999999999998</v>
      </c>
      <c r="H96" s="68">
        <f>5.8171* CHOOSE(CONTROL!$C$22, $C$13, 100%, $E$13)</f>
        <v>5.8170999999999999</v>
      </c>
      <c r="I96" s="68">
        <f>5.8238 * CHOOSE(CONTROL!$C$22, $C$13, 100%, $E$13)</f>
        <v>5.8238000000000003</v>
      </c>
      <c r="J96" s="68">
        <f>3.5839 * CHOOSE(CONTROL!$C$22, $C$13, 100%, $E$13)</f>
        <v>3.5838999999999999</v>
      </c>
      <c r="K96" s="68">
        <f>3.5906 * CHOOSE(CONTROL!$C$22, $C$13, 100%, $E$13)</f>
        <v>3.5905999999999998</v>
      </c>
      <c r="L96" s="4"/>
      <c r="M96" s="4"/>
      <c r="N96" s="4"/>
    </row>
    <row r="97" spans="1:14" ht="15">
      <c r="A97" s="13">
        <v>44075</v>
      </c>
      <c r="B97" s="67">
        <f>3.2384 * CHOOSE(CONTROL!$C$22, $C$13, 100%, $E$13)</f>
        <v>3.2383999999999999</v>
      </c>
      <c r="C97" s="67">
        <f>3.2384 * CHOOSE(CONTROL!$C$22, $C$13, 100%, $E$13)</f>
        <v>3.2383999999999999</v>
      </c>
      <c r="D97" s="67">
        <f>3.2439 * CHOOSE(CONTROL!$C$22, $C$13, 100%, $E$13)</f>
        <v>3.2439</v>
      </c>
      <c r="E97" s="68">
        <f>3.576 * CHOOSE(CONTROL!$C$22, $C$13, 100%, $E$13)</f>
        <v>3.5760000000000001</v>
      </c>
      <c r="F97" s="68">
        <f>3.576 * CHOOSE(CONTROL!$C$22, $C$13, 100%, $E$13)</f>
        <v>3.5760000000000001</v>
      </c>
      <c r="G97" s="68">
        <f>3.5827 * CHOOSE(CONTROL!$C$22, $C$13, 100%, $E$13)</f>
        <v>3.5827</v>
      </c>
      <c r="H97" s="68">
        <f>5.8292* CHOOSE(CONTROL!$C$22, $C$13, 100%, $E$13)</f>
        <v>5.8292000000000002</v>
      </c>
      <c r="I97" s="68">
        <f>5.8359 * CHOOSE(CONTROL!$C$22, $C$13, 100%, $E$13)</f>
        <v>5.8358999999999996</v>
      </c>
      <c r="J97" s="68">
        <f>3.576 * CHOOSE(CONTROL!$C$22, $C$13, 100%, $E$13)</f>
        <v>3.5760000000000001</v>
      </c>
      <c r="K97" s="68">
        <f>3.5827 * CHOOSE(CONTROL!$C$22, $C$13, 100%, $E$13)</f>
        <v>3.5827</v>
      </c>
      <c r="L97" s="4"/>
      <c r="M97" s="4"/>
      <c r="N97" s="4"/>
    </row>
    <row r="98" spans="1:14" ht="15">
      <c r="A98" s="13">
        <v>44105</v>
      </c>
      <c r="B98" s="67">
        <f>3.2304 * CHOOSE(CONTROL!$C$22, $C$13, 100%, $E$13)</f>
        <v>3.2303999999999999</v>
      </c>
      <c r="C98" s="67">
        <f>3.2304 * CHOOSE(CONTROL!$C$22, $C$13, 100%, $E$13)</f>
        <v>3.2303999999999999</v>
      </c>
      <c r="D98" s="67">
        <f>3.2343 * CHOOSE(CONTROL!$C$22, $C$13, 100%, $E$13)</f>
        <v>3.2343000000000002</v>
      </c>
      <c r="E98" s="68">
        <f>3.5857 * CHOOSE(CONTROL!$C$22, $C$13, 100%, $E$13)</f>
        <v>3.5857000000000001</v>
      </c>
      <c r="F98" s="68">
        <f>3.5857 * CHOOSE(CONTROL!$C$22, $C$13, 100%, $E$13)</f>
        <v>3.5857000000000001</v>
      </c>
      <c r="G98" s="68">
        <f>3.5905 * CHOOSE(CONTROL!$C$22, $C$13, 100%, $E$13)</f>
        <v>3.5905</v>
      </c>
      <c r="H98" s="68">
        <f>5.8413* CHOOSE(CONTROL!$C$22, $C$13, 100%, $E$13)</f>
        <v>5.8413000000000004</v>
      </c>
      <c r="I98" s="68">
        <f>5.8461 * CHOOSE(CONTROL!$C$22, $C$13, 100%, $E$13)</f>
        <v>5.8460999999999999</v>
      </c>
      <c r="J98" s="68">
        <f>3.5857 * CHOOSE(CONTROL!$C$22, $C$13, 100%, $E$13)</f>
        <v>3.5857000000000001</v>
      </c>
      <c r="K98" s="68">
        <f>3.5905 * CHOOSE(CONTROL!$C$22, $C$13, 100%, $E$13)</f>
        <v>3.5905</v>
      </c>
      <c r="L98" s="4"/>
      <c r="M98" s="4"/>
      <c r="N98" s="4"/>
    </row>
    <row r="99" spans="1:14" ht="15">
      <c r="A99" s="13">
        <v>44136</v>
      </c>
      <c r="B99" s="67">
        <f>3.2335 * CHOOSE(CONTROL!$C$22, $C$13, 100%, $E$13)</f>
        <v>3.2334999999999998</v>
      </c>
      <c r="C99" s="67">
        <f>3.2335 * CHOOSE(CONTROL!$C$22, $C$13, 100%, $E$13)</f>
        <v>3.2334999999999998</v>
      </c>
      <c r="D99" s="67">
        <f>3.2373 * CHOOSE(CONTROL!$C$22, $C$13, 100%, $E$13)</f>
        <v>3.2372999999999998</v>
      </c>
      <c r="E99" s="68">
        <f>3.5994 * CHOOSE(CONTROL!$C$22, $C$13, 100%, $E$13)</f>
        <v>3.5994000000000002</v>
      </c>
      <c r="F99" s="68">
        <f>3.5994 * CHOOSE(CONTROL!$C$22, $C$13, 100%, $E$13)</f>
        <v>3.5994000000000002</v>
      </c>
      <c r="G99" s="68">
        <f>3.6041 * CHOOSE(CONTROL!$C$22, $C$13, 100%, $E$13)</f>
        <v>3.6040999999999999</v>
      </c>
      <c r="H99" s="68">
        <f>5.8535* CHOOSE(CONTROL!$C$22, $C$13, 100%, $E$13)</f>
        <v>5.8535000000000004</v>
      </c>
      <c r="I99" s="68">
        <f>5.8583 * CHOOSE(CONTROL!$C$22, $C$13, 100%, $E$13)</f>
        <v>5.8582999999999998</v>
      </c>
      <c r="J99" s="68">
        <f>3.5994 * CHOOSE(CONTROL!$C$22, $C$13, 100%, $E$13)</f>
        <v>3.5994000000000002</v>
      </c>
      <c r="K99" s="68">
        <f>3.6041 * CHOOSE(CONTROL!$C$22, $C$13, 100%, $E$13)</f>
        <v>3.6040999999999999</v>
      </c>
      <c r="L99" s="4"/>
      <c r="M99" s="4"/>
      <c r="N99" s="4"/>
    </row>
    <row r="100" spans="1:14" ht="15">
      <c r="A100" s="13">
        <v>44166</v>
      </c>
      <c r="B100" s="67">
        <f>3.2335 * CHOOSE(CONTROL!$C$22, $C$13, 100%, $E$13)</f>
        <v>3.2334999999999998</v>
      </c>
      <c r="C100" s="67">
        <f>3.2335 * CHOOSE(CONTROL!$C$22, $C$13, 100%, $E$13)</f>
        <v>3.2334999999999998</v>
      </c>
      <c r="D100" s="67">
        <f>3.2373 * CHOOSE(CONTROL!$C$22, $C$13, 100%, $E$13)</f>
        <v>3.2372999999999998</v>
      </c>
      <c r="E100" s="68">
        <f>3.5704 * CHOOSE(CONTROL!$C$22, $C$13, 100%, $E$13)</f>
        <v>3.5703999999999998</v>
      </c>
      <c r="F100" s="68">
        <f>3.5704 * CHOOSE(CONTROL!$C$22, $C$13, 100%, $E$13)</f>
        <v>3.5703999999999998</v>
      </c>
      <c r="G100" s="68">
        <f>3.5752 * CHOOSE(CONTROL!$C$22, $C$13, 100%, $E$13)</f>
        <v>3.5752000000000002</v>
      </c>
      <c r="H100" s="68">
        <f>5.8657* CHOOSE(CONTROL!$C$22, $C$13, 100%, $E$13)</f>
        <v>5.8657000000000004</v>
      </c>
      <c r="I100" s="68">
        <f>5.8705 * CHOOSE(CONTROL!$C$22, $C$13, 100%, $E$13)</f>
        <v>5.8704999999999998</v>
      </c>
      <c r="J100" s="68">
        <f>3.5704 * CHOOSE(CONTROL!$C$22, $C$13, 100%, $E$13)</f>
        <v>3.5703999999999998</v>
      </c>
      <c r="K100" s="68">
        <f>3.5752 * CHOOSE(CONTROL!$C$22, $C$13, 100%, $E$13)</f>
        <v>3.5752000000000002</v>
      </c>
      <c r="L100" s="4"/>
      <c r="M100" s="4"/>
      <c r="N100" s="4"/>
    </row>
    <row r="101" spans="1:14" ht="15">
      <c r="A101" s="13">
        <v>44197</v>
      </c>
      <c r="B101" s="67">
        <f>3.2543 * CHOOSE(CONTROL!$C$22, $C$13, 100%, $E$13)</f>
        <v>3.2543000000000002</v>
      </c>
      <c r="C101" s="67">
        <f>3.2543 * CHOOSE(CONTROL!$C$22, $C$13, 100%, $E$13)</f>
        <v>3.2543000000000002</v>
      </c>
      <c r="D101" s="67">
        <f>3.2582 * CHOOSE(CONTROL!$C$22, $C$13, 100%, $E$13)</f>
        <v>3.2582</v>
      </c>
      <c r="E101" s="68">
        <f>3.6909 * CHOOSE(CONTROL!$C$22, $C$13, 100%, $E$13)</f>
        <v>3.6909000000000001</v>
      </c>
      <c r="F101" s="68">
        <f>3.6909 * CHOOSE(CONTROL!$C$22, $C$13, 100%, $E$13)</f>
        <v>3.6909000000000001</v>
      </c>
      <c r="G101" s="68">
        <f>3.6956 * CHOOSE(CONTROL!$C$22, $C$13, 100%, $E$13)</f>
        <v>3.6956000000000002</v>
      </c>
      <c r="H101" s="68">
        <f>5.8779* CHOOSE(CONTROL!$C$22, $C$13, 100%, $E$13)</f>
        <v>5.8779000000000003</v>
      </c>
      <c r="I101" s="68">
        <f>5.8827 * CHOOSE(CONTROL!$C$22, $C$13, 100%, $E$13)</f>
        <v>5.8826999999999998</v>
      </c>
      <c r="J101" s="68">
        <f>3.6909 * CHOOSE(CONTROL!$C$22, $C$13, 100%, $E$13)</f>
        <v>3.6909000000000001</v>
      </c>
      <c r="K101" s="68">
        <f>3.6956 * CHOOSE(CONTROL!$C$22, $C$13, 100%, $E$13)</f>
        <v>3.6956000000000002</v>
      </c>
      <c r="L101" s="4"/>
      <c r="M101" s="4"/>
      <c r="N101" s="4"/>
    </row>
    <row r="102" spans="1:14" ht="15">
      <c r="A102" s="13">
        <v>44228</v>
      </c>
      <c r="B102" s="67">
        <f>3.2513 * CHOOSE(CONTROL!$C$22, $C$13, 100%, $E$13)</f>
        <v>3.2513000000000001</v>
      </c>
      <c r="C102" s="67">
        <f>3.2513 * CHOOSE(CONTROL!$C$22, $C$13, 100%, $E$13)</f>
        <v>3.2513000000000001</v>
      </c>
      <c r="D102" s="67">
        <f>3.2551 * CHOOSE(CONTROL!$C$22, $C$13, 100%, $E$13)</f>
        <v>3.2551000000000001</v>
      </c>
      <c r="E102" s="68">
        <f>3.6298 * CHOOSE(CONTROL!$C$22, $C$13, 100%, $E$13)</f>
        <v>3.6297999999999999</v>
      </c>
      <c r="F102" s="68">
        <f>3.6298 * CHOOSE(CONTROL!$C$22, $C$13, 100%, $E$13)</f>
        <v>3.6297999999999999</v>
      </c>
      <c r="G102" s="68">
        <f>3.6346 * CHOOSE(CONTROL!$C$22, $C$13, 100%, $E$13)</f>
        <v>3.6345999999999998</v>
      </c>
      <c r="H102" s="68">
        <f>5.8901* CHOOSE(CONTROL!$C$22, $C$13, 100%, $E$13)</f>
        <v>5.8901000000000003</v>
      </c>
      <c r="I102" s="68">
        <f>5.8949 * CHOOSE(CONTROL!$C$22, $C$13, 100%, $E$13)</f>
        <v>5.8948999999999998</v>
      </c>
      <c r="J102" s="68">
        <f>3.6298 * CHOOSE(CONTROL!$C$22, $C$13, 100%, $E$13)</f>
        <v>3.6297999999999999</v>
      </c>
      <c r="K102" s="68">
        <f>3.6346 * CHOOSE(CONTROL!$C$22, $C$13, 100%, $E$13)</f>
        <v>3.6345999999999998</v>
      </c>
      <c r="L102" s="4"/>
      <c r="M102" s="4"/>
      <c r="N102" s="4"/>
    </row>
    <row r="103" spans="1:14" ht="15">
      <c r="A103" s="13">
        <v>44256</v>
      </c>
      <c r="B103" s="67">
        <f>3.2482 * CHOOSE(CONTROL!$C$22, $C$13, 100%, $E$13)</f>
        <v>3.2482000000000002</v>
      </c>
      <c r="C103" s="67">
        <f>3.2482 * CHOOSE(CONTROL!$C$22, $C$13, 100%, $E$13)</f>
        <v>3.2482000000000002</v>
      </c>
      <c r="D103" s="67">
        <f>3.2521 * CHOOSE(CONTROL!$C$22, $C$13, 100%, $E$13)</f>
        <v>3.2521</v>
      </c>
      <c r="E103" s="68">
        <f>3.6741 * CHOOSE(CONTROL!$C$22, $C$13, 100%, $E$13)</f>
        <v>3.6741000000000001</v>
      </c>
      <c r="F103" s="68">
        <f>3.6741 * CHOOSE(CONTROL!$C$22, $C$13, 100%, $E$13)</f>
        <v>3.6741000000000001</v>
      </c>
      <c r="G103" s="68">
        <f>3.6789 * CHOOSE(CONTROL!$C$22, $C$13, 100%, $E$13)</f>
        <v>3.6789000000000001</v>
      </c>
      <c r="H103" s="68">
        <f>5.9024* CHOOSE(CONTROL!$C$22, $C$13, 100%, $E$13)</f>
        <v>5.9024000000000001</v>
      </c>
      <c r="I103" s="68">
        <f>5.9072 * CHOOSE(CONTROL!$C$22, $C$13, 100%, $E$13)</f>
        <v>5.9071999999999996</v>
      </c>
      <c r="J103" s="68">
        <f>3.6741 * CHOOSE(CONTROL!$C$22, $C$13, 100%, $E$13)</f>
        <v>3.6741000000000001</v>
      </c>
      <c r="K103" s="68">
        <f>3.6789 * CHOOSE(CONTROL!$C$22, $C$13, 100%, $E$13)</f>
        <v>3.6789000000000001</v>
      </c>
      <c r="L103" s="4"/>
      <c r="M103" s="4"/>
      <c r="N103" s="4"/>
    </row>
    <row r="104" spans="1:14" ht="15">
      <c r="A104" s="13">
        <v>44287</v>
      </c>
      <c r="B104" s="67">
        <f>3.2451 * CHOOSE(CONTROL!$C$22, $C$13, 100%, $E$13)</f>
        <v>3.2450999999999999</v>
      </c>
      <c r="C104" s="67">
        <f>3.2451 * CHOOSE(CONTROL!$C$22, $C$13, 100%, $E$13)</f>
        <v>3.2450999999999999</v>
      </c>
      <c r="D104" s="67">
        <f>3.249 * CHOOSE(CONTROL!$C$22, $C$13, 100%, $E$13)</f>
        <v>3.2490000000000001</v>
      </c>
      <c r="E104" s="68">
        <f>3.7198 * CHOOSE(CONTROL!$C$22, $C$13, 100%, $E$13)</f>
        <v>3.7198000000000002</v>
      </c>
      <c r="F104" s="68">
        <f>3.7198 * CHOOSE(CONTROL!$C$22, $C$13, 100%, $E$13)</f>
        <v>3.7198000000000002</v>
      </c>
      <c r="G104" s="68">
        <f>3.7246 * CHOOSE(CONTROL!$C$22, $C$13, 100%, $E$13)</f>
        <v>3.7246000000000001</v>
      </c>
      <c r="H104" s="68">
        <f>5.9147* CHOOSE(CONTROL!$C$22, $C$13, 100%, $E$13)</f>
        <v>5.9146999999999998</v>
      </c>
      <c r="I104" s="68">
        <f>5.9195 * CHOOSE(CONTROL!$C$22, $C$13, 100%, $E$13)</f>
        <v>5.9195000000000002</v>
      </c>
      <c r="J104" s="68">
        <f>3.7198 * CHOOSE(CONTROL!$C$22, $C$13, 100%, $E$13)</f>
        <v>3.7198000000000002</v>
      </c>
      <c r="K104" s="68">
        <f>3.7246 * CHOOSE(CONTROL!$C$22, $C$13, 100%, $E$13)</f>
        <v>3.7246000000000001</v>
      </c>
      <c r="L104" s="4"/>
      <c r="M104" s="4"/>
      <c r="N104" s="4"/>
    </row>
    <row r="105" spans="1:14" ht="15">
      <c r="A105" s="13">
        <v>44317</v>
      </c>
      <c r="B105" s="67">
        <f>3.2451 * CHOOSE(CONTROL!$C$22, $C$13, 100%, $E$13)</f>
        <v>3.2450999999999999</v>
      </c>
      <c r="C105" s="67">
        <f>3.2451 * CHOOSE(CONTROL!$C$22, $C$13, 100%, $E$13)</f>
        <v>3.2450999999999999</v>
      </c>
      <c r="D105" s="67">
        <f>3.2506 * CHOOSE(CONTROL!$C$22, $C$13, 100%, $E$13)</f>
        <v>3.2505999999999999</v>
      </c>
      <c r="E105" s="68">
        <f>3.7385 * CHOOSE(CONTROL!$C$22, $C$13, 100%, $E$13)</f>
        <v>3.7385000000000002</v>
      </c>
      <c r="F105" s="68">
        <f>3.7385 * CHOOSE(CONTROL!$C$22, $C$13, 100%, $E$13)</f>
        <v>3.7385000000000002</v>
      </c>
      <c r="G105" s="68">
        <f>3.7453 * CHOOSE(CONTROL!$C$22, $C$13, 100%, $E$13)</f>
        <v>3.7452999999999999</v>
      </c>
      <c r="H105" s="68">
        <f>5.927* CHOOSE(CONTROL!$C$22, $C$13, 100%, $E$13)</f>
        <v>5.9269999999999996</v>
      </c>
      <c r="I105" s="68">
        <f>5.9338 * CHOOSE(CONTROL!$C$22, $C$13, 100%, $E$13)</f>
        <v>5.9337999999999997</v>
      </c>
      <c r="J105" s="68">
        <f>3.7385 * CHOOSE(CONTROL!$C$22, $C$13, 100%, $E$13)</f>
        <v>3.7385000000000002</v>
      </c>
      <c r="K105" s="68">
        <f>3.7453 * CHOOSE(CONTROL!$C$22, $C$13, 100%, $E$13)</f>
        <v>3.7452999999999999</v>
      </c>
      <c r="L105" s="4"/>
      <c r="M105" s="4"/>
      <c r="N105" s="4"/>
    </row>
    <row r="106" spans="1:14" ht="15">
      <c r="A106" s="13">
        <v>44348</v>
      </c>
      <c r="B106" s="67">
        <f>3.2512 * CHOOSE(CONTROL!$C$22, $C$13, 100%, $E$13)</f>
        <v>3.2511999999999999</v>
      </c>
      <c r="C106" s="67">
        <f>3.2512 * CHOOSE(CONTROL!$C$22, $C$13, 100%, $E$13)</f>
        <v>3.2511999999999999</v>
      </c>
      <c r="D106" s="67">
        <f>3.2567 * CHOOSE(CONTROL!$C$22, $C$13, 100%, $E$13)</f>
        <v>3.2566999999999999</v>
      </c>
      <c r="E106" s="68">
        <f>3.724 * CHOOSE(CONTROL!$C$22, $C$13, 100%, $E$13)</f>
        <v>3.7240000000000002</v>
      </c>
      <c r="F106" s="68">
        <f>3.724 * CHOOSE(CONTROL!$C$22, $C$13, 100%, $E$13)</f>
        <v>3.7240000000000002</v>
      </c>
      <c r="G106" s="68">
        <f>3.7308 * CHOOSE(CONTROL!$C$22, $C$13, 100%, $E$13)</f>
        <v>3.7307999999999999</v>
      </c>
      <c r="H106" s="68">
        <f>5.9394* CHOOSE(CONTROL!$C$22, $C$13, 100%, $E$13)</f>
        <v>5.9394</v>
      </c>
      <c r="I106" s="68">
        <f>5.9461 * CHOOSE(CONTROL!$C$22, $C$13, 100%, $E$13)</f>
        <v>5.9461000000000004</v>
      </c>
      <c r="J106" s="68">
        <f>3.724 * CHOOSE(CONTROL!$C$22, $C$13, 100%, $E$13)</f>
        <v>3.7240000000000002</v>
      </c>
      <c r="K106" s="68">
        <f>3.7308 * CHOOSE(CONTROL!$C$22, $C$13, 100%, $E$13)</f>
        <v>3.7307999999999999</v>
      </c>
      <c r="L106" s="4"/>
      <c r="M106" s="4"/>
      <c r="N106" s="4"/>
    </row>
    <row r="107" spans="1:14" ht="15">
      <c r="A107" s="13">
        <v>44378</v>
      </c>
      <c r="B107" s="67">
        <f>3.2867 * CHOOSE(CONTROL!$C$22, $C$13, 100%, $E$13)</f>
        <v>3.2867000000000002</v>
      </c>
      <c r="C107" s="67">
        <f>3.2867 * CHOOSE(CONTROL!$C$22, $C$13, 100%, $E$13)</f>
        <v>3.2867000000000002</v>
      </c>
      <c r="D107" s="67">
        <f>3.2922 * CHOOSE(CONTROL!$C$22, $C$13, 100%, $E$13)</f>
        <v>3.2921999999999998</v>
      </c>
      <c r="E107" s="68">
        <f>3.8884 * CHOOSE(CONTROL!$C$22, $C$13, 100%, $E$13)</f>
        <v>3.8883999999999999</v>
      </c>
      <c r="F107" s="68">
        <f>3.8884 * CHOOSE(CONTROL!$C$22, $C$13, 100%, $E$13)</f>
        <v>3.8883999999999999</v>
      </c>
      <c r="G107" s="68">
        <f>3.8951 * CHOOSE(CONTROL!$C$22, $C$13, 100%, $E$13)</f>
        <v>3.8950999999999998</v>
      </c>
      <c r="H107" s="68">
        <f>5.9518* CHOOSE(CONTROL!$C$22, $C$13, 100%, $E$13)</f>
        <v>5.9518000000000004</v>
      </c>
      <c r="I107" s="68">
        <f>5.9585 * CHOOSE(CONTROL!$C$22, $C$13, 100%, $E$13)</f>
        <v>5.9584999999999999</v>
      </c>
      <c r="J107" s="68">
        <f>3.8884 * CHOOSE(CONTROL!$C$22, $C$13, 100%, $E$13)</f>
        <v>3.8883999999999999</v>
      </c>
      <c r="K107" s="68">
        <f>3.8951 * CHOOSE(CONTROL!$C$22, $C$13, 100%, $E$13)</f>
        <v>3.8950999999999998</v>
      </c>
      <c r="L107" s="4"/>
      <c r="M107" s="4"/>
      <c r="N107" s="4"/>
    </row>
    <row r="108" spans="1:14" ht="15">
      <c r="A108" s="13">
        <v>44409</v>
      </c>
      <c r="B108" s="67">
        <f>3.2934 * CHOOSE(CONTROL!$C$22, $C$13, 100%, $E$13)</f>
        <v>3.2934000000000001</v>
      </c>
      <c r="C108" s="67">
        <f>3.2934 * CHOOSE(CONTROL!$C$22, $C$13, 100%, $E$13)</f>
        <v>3.2934000000000001</v>
      </c>
      <c r="D108" s="67">
        <f>3.2989 * CHOOSE(CONTROL!$C$22, $C$13, 100%, $E$13)</f>
        <v>3.2989000000000002</v>
      </c>
      <c r="E108" s="68">
        <f>3.8369 * CHOOSE(CONTROL!$C$22, $C$13, 100%, $E$13)</f>
        <v>3.8369</v>
      </c>
      <c r="F108" s="68">
        <f>3.8369 * CHOOSE(CONTROL!$C$22, $C$13, 100%, $E$13)</f>
        <v>3.8369</v>
      </c>
      <c r="G108" s="68">
        <f>3.8436 * CHOOSE(CONTROL!$C$22, $C$13, 100%, $E$13)</f>
        <v>3.8435999999999999</v>
      </c>
      <c r="H108" s="68">
        <f>5.9642* CHOOSE(CONTROL!$C$22, $C$13, 100%, $E$13)</f>
        <v>5.9641999999999999</v>
      </c>
      <c r="I108" s="68">
        <f>5.9709 * CHOOSE(CONTROL!$C$22, $C$13, 100%, $E$13)</f>
        <v>5.9709000000000003</v>
      </c>
      <c r="J108" s="68">
        <f>3.8369 * CHOOSE(CONTROL!$C$22, $C$13, 100%, $E$13)</f>
        <v>3.8369</v>
      </c>
      <c r="K108" s="68">
        <f>3.8436 * CHOOSE(CONTROL!$C$22, $C$13, 100%, $E$13)</f>
        <v>3.8435999999999999</v>
      </c>
      <c r="L108" s="4"/>
      <c r="M108" s="4"/>
      <c r="N108" s="4"/>
    </row>
    <row r="109" spans="1:14" ht="15">
      <c r="A109" s="13">
        <v>44440</v>
      </c>
      <c r="B109" s="67">
        <f>3.2903 * CHOOSE(CONTROL!$C$22, $C$13, 100%, $E$13)</f>
        <v>3.2902999999999998</v>
      </c>
      <c r="C109" s="67">
        <f>3.2903 * CHOOSE(CONTROL!$C$22, $C$13, 100%, $E$13)</f>
        <v>3.2902999999999998</v>
      </c>
      <c r="D109" s="67">
        <f>3.2958 * CHOOSE(CONTROL!$C$22, $C$13, 100%, $E$13)</f>
        <v>3.2957999999999998</v>
      </c>
      <c r="E109" s="68">
        <f>3.8285 * CHOOSE(CONTROL!$C$22, $C$13, 100%, $E$13)</f>
        <v>3.8285</v>
      </c>
      <c r="F109" s="68">
        <f>3.8285 * CHOOSE(CONTROL!$C$22, $C$13, 100%, $E$13)</f>
        <v>3.8285</v>
      </c>
      <c r="G109" s="68">
        <f>3.8353 * CHOOSE(CONTROL!$C$22, $C$13, 100%, $E$13)</f>
        <v>3.8353000000000002</v>
      </c>
      <c r="H109" s="68">
        <f>5.9766* CHOOSE(CONTROL!$C$22, $C$13, 100%, $E$13)</f>
        <v>5.9766000000000004</v>
      </c>
      <c r="I109" s="68">
        <f>5.9833 * CHOOSE(CONTROL!$C$22, $C$13, 100%, $E$13)</f>
        <v>5.9832999999999998</v>
      </c>
      <c r="J109" s="68">
        <f>3.8285 * CHOOSE(CONTROL!$C$22, $C$13, 100%, $E$13)</f>
        <v>3.8285</v>
      </c>
      <c r="K109" s="68">
        <f>3.8353 * CHOOSE(CONTROL!$C$22, $C$13, 100%, $E$13)</f>
        <v>3.8353000000000002</v>
      </c>
      <c r="L109" s="4"/>
      <c r="M109" s="4"/>
      <c r="N109" s="4"/>
    </row>
    <row r="110" spans="1:14" ht="15">
      <c r="A110" s="13">
        <v>44470</v>
      </c>
      <c r="B110" s="67">
        <f>3.2826 * CHOOSE(CONTROL!$C$22, $C$13, 100%, $E$13)</f>
        <v>3.2826</v>
      </c>
      <c r="C110" s="67">
        <f>3.2826 * CHOOSE(CONTROL!$C$22, $C$13, 100%, $E$13)</f>
        <v>3.2826</v>
      </c>
      <c r="D110" s="67">
        <f>3.2864 * CHOOSE(CONTROL!$C$22, $C$13, 100%, $E$13)</f>
        <v>3.2864</v>
      </c>
      <c r="E110" s="68">
        <f>3.8401 * CHOOSE(CONTROL!$C$22, $C$13, 100%, $E$13)</f>
        <v>3.8401000000000001</v>
      </c>
      <c r="F110" s="68">
        <f>3.8401 * CHOOSE(CONTROL!$C$22, $C$13, 100%, $E$13)</f>
        <v>3.8401000000000001</v>
      </c>
      <c r="G110" s="68">
        <f>3.8448 * CHOOSE(CONTROL!$C$22, $C$13, 100%, $E$13)</f>
        <v>3.8448000000000002</v>
      </c>
      <c r="H110" s="68">
        <f>5.989* CHOOSE(CONTROL!$C$22, $C$13, 100%, $E$13)</f>
        <v>5.9889999999999999</v>
      </c>
      <c r="I110" s="68">
        <f>5.9938 * CHOOSE(CONTROL!$C$22, $C$13, 100%, $E$13)</f>
        <v>5.9938000000000002</v>
      </c>
      <c r="J110" s="68">
        <f>3.8401 * CHOOSE(CONTROL!$C$22, $C$13, 100%, $E$13)</f>
        <v>3.8401000000000001</v>
      </c>
      <c r="K110" s="68">
        <f>3.8448 * CHOOSE(CONTROL!$C$22, $C$13, 100%, $E$13)</f>
        <v>3.8448000000000002</v>
      </c>
      <c r="L110" s="4"/>
      <c r="M110" s="4"/>
      <c r="N110" s="4"/>
    </row>
    <row r="111" spans="1:14" ht="15">
      <c r="A111" s="13">
        <v>44501</v>
      </c>
      <c r="B111" s="67">
        <f>3.2856 * CHOOSE(CONTROL!$C$22, $C$13, 100%, $E$13)</f>
        <v>3.2856000000000001</v>
      </c>
      <c r="C111" s="67">
        <f>3.2856 * CHOOSE(CONTROL!$C$22, $C$13, 100%, $E$13)</f>
        <v>3.2856000000000001</v>
      </c>
      <c r="D111" s="67">
        <f>3.2895 * CHOOSE(CONTROL!$C$22, $C$13, 100%, $E$13)</f>
        <v>3.2894999999999999</v>
      </c>
      <c r="E111" s="68">
        <f>3.8547 * CHOOSE(CONTROL!$C$22, $C$13, 100%, $E$13)</f>
        <v>3.8546999999999998</v>
      </c>
      <c r="F111" s="68">
        <f>3.8547 * CHOOSE(CONTROL!$C$22, $C$13, 100%, $E$13)</f>
        <v>3.8546999999999998</v>
      </c>
      <c r="G111" s="68">
        <f>3.8594 * CHOOSE(CONTROL!$C$22, $C$13, 100%, $E$13)</f>
        <v>3.8593999999999999</v>
      </c>
      <c r="H111" s="68">
        <f>6.0015* CHOOSE(CONTROL!$C$22, $C$13, 100%, $E$13)</f>
        <v>6.0015000000000001</v>
      </c>
      <c r="I111" s="68">
        <f>6.0063 * CHOOSE(CONTROL!$C$22, $C$13, 100%, $E$13)</f>
        <v>6.0063000000000004</v>
      </c>
      <c r="J111" s="68">
        <f>3.8547 * CHOOSE(CONTROL!$C$22, $C$13, 100%, $E$13)</f>
        <v>3.8546999999999998</v>
      </c>
      <c r="K111" s="68">
        <f>3.8594 * CHOOSE(CONTROL!$C$22, $C$13, 100%, $E$13)</f>
        <v>3.8593999999999999</v>
      </c>
      <c r="L111" s="4"/>
      <c r="M111" s="4"/>
      <c r="N111" s="4"/>
    </row>
    <row r="112" spans="1:14" ht="15">
      <c r="A112" s="13">
        <v>44531</v>
      </c>
      <c r="B112" s="67">
        <f>3.2856 * CHOOSE(CONTROL!$C$22, $C$13, 100%, $E$13)</f>
        <v>3.2856000000000001</v>
      </c>
      <c r="C112" s="67">
        <f>3.2856 * CHOOSE(CONTROL!$C$22, $C$13, 100%, $E$13)</f>
        <v>3.2856000000000001</v>
      </c>
      <c r="D112" s="67">
        <f>3.2895 * CHOOSE(CONTROL!$C$22, $C$13, 100%, $E$13)</f>
        <v>3.2894999999999999</v>
      </c>
      <c r="E112" s="68">
        <f>3.8235 * CHOOSE(CONTROL!$C$22, $C$13, 100%, $E$13)</f>
        <v>3.8235000000000001</v>
      </c>
      <c r="F112" s="68">
        <f>3.8235 * CHOOSE(CONTROL!$C$22, $C$13, 100%, $E$13)</f>
        <v>3.8235000000000001</v>
      </c>
      <c r="G112" s="68">
        <f>3.8282 * CHOOSE(CONTROL!$C$22, $C$13, 100%, $E$13)</f>
        <v>3.8281999999999998</v>
      </c>
      <c r="H112" s="68">
        <f>6.014* CHOOSE(CONTROL!$C$22, $C$13, 100%, $E$13)</f>
        <v>6.0140000000000002</v>
      </c>
      <c r="I112" s="68">
        <f>6.0188 * CHOOSE(CONTROL!$C$22, $C$13, 100%, $E$13)</f>
        <v>6.0187999999999997</v>
      </c>
      <c r="J112" s="68">
        <f>3.8235 * CHOOSE(CONTROL!$C$22, $C$13, 100%, $E$13)</f>
        <v>3.8235000000000001</v>
      </c>
      <c r="K112" s="68">
        <f>3.8282 * CHOOSE(CONTROL!$C$22, $C$13, 100%, $E$13)</f>
        <v>3.8281999999999998</v>
      </c>
      <c r="L112" s="4"/>
      <c r="M112" s="4"/>
      <c r="N112" s="4"/>
    </row>
    <row r="113" spans="1:14" ht="15">
      <c r="A113" s="13">
        <v>44562</v>
      </c>
      <c r="B113" s="67">
        <f>3.315 * CHOOSE(CONTROL!$C$22, $C$13, 100%, $E$13)</f>
        <v>3.3149999999999999</v>
      </c>
      <c r="C113" s="67">
        <f>3.315 * CHOOSE(CONTROL!$C$22, $C$13, 100%, $E$13)</f>
        <v>3.3149999999999999</v>
      </c>
      <c r="D113" s="67">
        <f>3.3189 * CHOOSE(CONTROL!$C$22, $C$13, 100%, $E$13)</f>
        <v>3.3189000000000002</v>
      </c>
      <c r="E113" s="68">
        <f>3.9024 * CHOOSE(CONTROL!$C$22, $C$13, 100%, $E$13)</f>
        <v>3.9024000000000001</v>
      </c>
      <c r="F113" s="68">
        <f>3.9024 * CHOOSE(CONTROL!$C$22, $C$13, 100%, $E$13)</f>
        <v>3.9024000000000001</v>
      </c>
      <c r="G113" s="68">
        <f>3.9072 * CHOOSE(CONTROL!$C$22, $C$13, 100%, $E$13)</f>
        <v>3.9072</v>
      </c>
      <c r="H113" s="68">
        <f>6.0265* CHOOSE(CONTROL!$C$22, $C$13, 100%, $E$13)</f>
        <v>6.0265000000000004</v>
      </c>
      <c r="I113" s="68">
        <f>6.0313 * CHOOSE(CONTROL!$C$22, $C$13, 100%, $E$13)</f>
        <v>6.0312999999999999</v>
      </c>
      <c r="J113" s="68">
        <f>3.9024 * CHOOSE(CONTROL!$C$22, $C$13, 100%, $E$13)</f>
        <v>3.9024000000000001</v>
      </c>
      <c r="K113" s="68">
        <f>3.9072 * CHOOSE(CONTROL!$C$22, $C$13, 100%, $E$13)</f>
        <v>3.9072</v>
      </c>
      <c r="L113" s="4"/>
      <c r="M113" s="4"/>
      <c r="N113" s="4"/>
    </row>
    <row r="114" spans="1:14" ht="15">
      <c r="A114" s="13">
        <v>44593</v>
      </c>
      <c r="B114" s="67">
        <f>3.312 * CHOOSE(CONTROL!$C$22, $C$13, 100%, $E$13)</f>
        <v>3.3119999999999998</v>
      </c>
      <c r="C114" s="67">
        <f>3.312 * CHOOSE(CONTROL!$C$22, $C$13, 100%, $E$13)</f>
        <v>3.3119999999999998</v>
      </c>
      <c r="D114" s="67">
        <f>3.3159 * CHOOSE(CONTROL!$C$22, $C$13, 100%, $E$13)</f>
        <v>3.3159000000000001</v>
      </c>
      <c r="E114" s="68">
        <f>3.8381 * CHOOSE(CONTROL!$C$22, $C$13, 100%, $E$13)</f>
        <v>3.8380999999999998</v>
      </c>
      <c r="F114" s="68">
        <f>3.8381 * CHOOSE(CONTROL!$C$22, $C$13, 100%, $E$13)</f>
        <v>3.8380999999999998</v>
      </c>
      <c r="G114" s="68">
        <f>3.8429 * CHOOSE(CONTROL!$C$22, $C$13, 100%, $E$13)</f>
        <v>3.8429000000000002</v>
      </c>
      <c r="H114" s="68">
        <f>6.0391* CHOOSE(CONTROL!$C$22, $C$13, 100%, $E$13)</f>
        <v>6.0391000000000004</v>
      </c>
      <c r="I114" s="68">
        <f>6.0439 * CHOOSE(CONTROL!$C$22, $C$13, 100%, $E$13)</f>
        <v>6.0438999999999998</v>
      </c>
      <c r="J114" s="68">
        <f>3.8381 * CHOOSE(CONTROL!$C$22, $C$13, 100%, $E$13)</f>
        <v>3.8380999999999998</v>
      </c>
      <c r="K114" s="68">
        <f>3.8429 * CHOOSE(CONTROL!$C$22, $C$13, 100%, $E$13)</f>
        <v>3.8429000000000002</v>
      </c>
      <c r="L114" s="4"/>
      <c r="M114" s="4"/>
      <c r="N114" s="4"/>
    </row>
    <row r="115" spans="1:14" ht="15">
      <c r="A115" s="13">
        <v>44621</v>
      </c>
      <c r="B115" s="67">
        <f>3.309 * CHOOSE(CONTROL!$C$22, $C$13, 100%, $E$13)</f>
        <v>3.3090000000000002</v>
      </c>
      <c r="C115" s="67">
        <f>3.309 * CHOOSE(CONTROL!$C$22, $C$13, 100%, $E$13)</f>
        <v>3.3090000000000002</v>
      </c>
      <c r="D115" s="67">
        <f>3.3128 * CHOOSE(CONTROL!$C$22, $C$13, 100%, $E$13)</f>
        <v>3.3128000000000002</v>
      </c>
      <c r="E115" s="68">
        <f>3.885 * CHOOSE(CONTROL!$C$22, $C$13, 100%, $E$13)</f>
        <v>3.8849999999999998</v>
      </c>
      <c r="F115" s="68">
        <f>3.885 * CHOOSE(CONTROL!$C$22, $C$13, 100%, $E$13)</f>
        <v>3.8849999999999998</v>
      </c>
      <c r="G115" s="68">
        <f>3.8898 * CHOOSE(CONTROL!$C$22, $C$13, 100%, $E$13)</f>
        <v>3.8898000000000001</v>
      </c>
      <c r="H115" s="68">
        <f>6.0517* CHOOSE(CONTROL!$C$22, $C$13, 100%, $E$13)</f>
        <v>6.0517000000000003</v>
      </c>
      <c r="I115" s="68">
        <f>6.0565 * CHOOSE(CONTROL!$C$22, $C$13, 100%, $E$13)</f>
        <v>6.0564999999999998</v>
      </c>
      <c r="J115" s="68">
        <f>3.885 * CHOOSE(CONTROL!$C$22, $C$13, 100%, $E$13)</f>
        <v>3.8849999999999998</v>
      </c>
      <c r="K115" s="68">
        <f>3.8898 * CHOOSE(CONTROL!$C$22, $C$13, 100%, $E$13)</f>
        <v>3.8898000000000001</v>
      </c>
      <c r="L115" s="4"/>
      <c r="M115" s="4"/>
      <c r="N115" s="4"/>
    </row>
    <row r="116" spans="1:14" ht="15">
      <c r="A116" s="13">
        <v>44652</v>
      </c>
      <c r="B116" s="67">
        <f>3.3059 * CHOOSE(CONTROL!$C$22, $C$13, 100%, $E$13)</f>
        <v>3.3058999999999998</v>
      </c>
      <c r="C116" s="67">
        <f>3.3059 * CHOOSE(CONTROL!$C$22, $C$13, 100%, $E$13)</f>
        <v>3.3058999999999998</v>
      </c>
      <c r="D116" s="67">
        <f>3.3098 * CHOOSE(CONTROL!$C$22, $C$13, 100%, $E$13)</f>
        <v>3.3098000000000001</v>
      </c>
      <c r="E116" s="68">
        <f>3.9334 * CHOOSE(CONTROL!$C$22, $C$13, 100%, $E$13)</f>
        <v>3.9333999999999998</v>
      </c>
      <c r="F116" s="68">
        <f>3.9334 * CHOOSE(CONTROL!$C$22, $C$13, 100%, $E$13)</f>
        <v>3.9333999999999998</v>
      </c>
      <c r="G116" s="68">
        <f>3.9382 * CHOOSE(CONTROL!$C$22, $C$13, 100%, $E$13)</f>
        <v>3.9382000000000001</v>
      </c>
      <c r="H116" s="68">
        <f>6.0643* CHOOSE(CONTROL!$C$22, $C$13, 100%, $E$13)</f>
        <v>6.0643000000000002</v>
      </c>
      <c r="I116" s="68">
        <f>6.0691 * CHOOSE(CONTROL!$C$22, $C$13, 100%, $E$13)</f>
        <v>6.0690999999999997</v>
      </c>
      <c r="J116" s="68">
        <f>3.9334 * CHOOSE(CONTROL!$C$22, $C$13, 100%, $E$13)</f>
        <v>3.9333999999999998</v>
      </c>
      <c r="K116" s="68">
        <f>3.9382 * CHOOSE(CONTROL!$C$22, $C$13, 100%, $E$13)</f>
        <v>3.9382000000000001</v>
      </c>
      <c r="L116" s="4"/>
      <c r="M116" s="4"/>
      <c r="N116" s="4"/>
    </row>
    <row r="117" spans="1:14" ht="15">
      <c r="A117" s="13">
        <v>44682</v>
      </c>
      <c r="B117" s="67">
        <f>3.3059 * CHOOSE(CONTROL!$C$22, $C$13, 100%, $E$13)</f>
        <v>3.3058999999999998</v>
      </c>
      <c r="C117" s="67">
        <f>3.3059 * CHOOSE(CONTROL!$C$22, $C$13, 100%, $E$13)</f>
        <v>3.3058999999999998</v>
      </c>
      <c r="D117" s="67">
        <f>3.3114 * CHOOSE(CONTROL!$C$22, $C$13, 100%, $E$13)</f>
        <v>3.3113999999999999</v>
      </c>
      <c r="E117" s="68">
        <f>3.9531 * CHOOSE(CONTROL!$C$22, $C$13, 100%, $E$13)</f>
        <v>3.9531000000000001</v>
      </c>
      <c r="F117" s="68">
        <f>3.9531 * CHOOSE(CONTROL!$C$22, $C$13, 100%, $E$13)</f>
        <v>3.9531000000000001</v>
      </c>
      <c r="G117" s="68">
        <f>3.9599 * CHOOSE(CONTROL!$C$22, $C$13, 100%, $E$13)</f>
        <v>3.9599000000000002</v>
      </c>
      <c r="H117" s="68">
        <f>6.0769* CHOOSE(CONTROL!$C$22, $C$13, 100%, $E$13)</f>
        <v>6.0769000000000002</v>
      </c>
      <c r="I117" s="68">
        <f>6.0837 * CHOOSE(CONTROL!$C$22, $C$13, 100%, $E$13)</f>
        <v>6.0837000000000003</v>
      </c>
      <c r="J117" s="68">
        <f>3.9531 * CHOOSE(CONTROL!$C$22, $C$13, 100%, $E$13)</f>
        <v>3.9531000000000001</v>
      </c>
      <c r="K117" s="68">
        <f>3.9599 * CHOOSE(CONTROL!$C$22, $C$13, 100%, $E$13)</f>
        <v>3.9599000000000002</v>
      </c>
      <c r="L117" s="4"/>
      <c r="M117" s="4"/>
      <c r="N117" s="4"/>
    </row>
    <row r="118" spans="1:14" ht="15">
      <c r="A118" s="13">
        <v>44713</v>
      </c>
      <c r="B118" s="67">
        <f>3.312 * CHOOSE(CONTROL!$C$22, $C$13, 100%, $E$13)</f>
        <v>3.3119999999999998</v>
      </c>
      <c r="C118" s="67">
        <f>3.312 * CHOOSE(CONTROL!$C$22, $C$13, 100%, $E$13)</f>
        <v>3.3119999999999998</v>
      </c>
      <c r="D118" s="67">
        <f>3.3175 * CHOOSE(CONTROL!$C$22, $C$13, 100%, $E$13)</f>
        <v>3.3174999999999999</v>
      </c>
      <c r="E118" s="68">
        <f>3.9376 * CHOOSE(CONTROL!$C$22, $C$13, 100%, $E$13)</f>
        <v>3.9376000000000002</v>
      </c>
      <c r="F118" s="68">
        <f>3.9376 * CHOOSE(CONTROL!$C$22, $C$13, 100%, $E$13)</f>
        <v>3.9376000000000002</v>
      </c>
      <c r="G118" s="68">
        <f>3.9444 * CHOOSE(CONTROL!$C$22, $C$13, 100%, $E$13)</f>
        <v>3.9443999999999999</v>
      </c>
      <c r="H118" s="68">
        <f>6.0896* CHOOSE(CONTROL!$C$22, $C$13, 100%, $E$13)</f>
        <v>6.0895999999999999</v>
      </c>
      <c r="I118" s="68">
        <f>6.0963 * CHOOSE(CONTROL!$C$22, $C$13, 100%, $E$13)</f>
        <v>6.0963000000000003</v>
      </c>
      <c r="J118" s="68">
        <f>3.9376 * CHOOSE(CONTROL!$C$22, $C$13, 100%, $E$13)</f>
        <v>3.9376000000000002</v>
      </c>
      <c r="K118" s="68">
        <f>3.9444 * CHOOSE(CONTROL!$C$22, $C$13, 100%, $E$13)</f>
        <v>3.9443999999999999</v>
      </c>
      <c r="L118" s="4"/>
      <c r="M118" s="4"/>
      <c r="N118" s="4"/>
    </row>
    <row r="119" spans="1:14" ht="15">
      <c r="A119" s="13">
        <v>44743</v>
      </c>
      <c r="B119" s="67">
        <f>3.3675 * CHOOSE(CONTROL!$C$22, $C$13, 100%, $E$13)</f>
        <v>3.3675000000000002</v>
      </c>
      <c r="C119" s="67">
        <f>3.3675 * CHOOSE(CONTROL!$C$22, $C$13, 100%, $E$13)</f>
        <v>3.3675000000000002</v>
      </c>
      <c r="D119" s="67">
        <f>3.373 * CHOOSE(CONTROL!$C$22, $C$13, 100%, $E$13)</f>
        <v>3.3730000000000002</v>
      </c>
      <c r="E119" s="68">
        <f>4.0252 * CHOOSE(CONTROL!$C$22, $C$13, 100%, $E$13)</f>
        <v>4.0251999999999999</v>
      </c>
      <c r="F119" s="68">
        <f>4.0252 * CHOOSE(CONTROL!$C$22, $C$13, 100%, $E$13)</f>
        <v>4.0251999999999999</v>
      </c>
      <c r="G119" s="68">
        <f>4.0319 * CHOOSE(CONTROL!$C$22, $C$13, 100%, $E$13)</f>
        <v>4.0319000000000003</v>
      </c>
      <c r="H119" s="68">
        <f>6.1023* CHOOSE(CONTROL!$C$22, $C$13, 100%, $E$13)</f>
        <v>6.1022999999999996</v>
      </c>
      <c r="I119" s="68">
        <f>6.109 * CHOOSE(CONTROL!$C$22, $C$13, 100%, $E$13)</f>
        <v>6.109</v>
      </c>
      <c r="J119" s="68">
        <f>4.0252 * CHOOSE(CONTROL!$C$22, $C$13, 100%, $E$13)</f>
        <v>4.0251999999999999</v>
      </c>
      <c r="K119" s="68">
        <f>4.0319 * CHOOSE(CONTROL!$C$22, $C$13, 100%, $E$13)</f>
        <v>4.0319000000000003</v>
      </c>
      <c r="L119" s="4"/>
      <c r="M119" s="4"/>
      <c r="N119" s="4"/>
    </row>
    <row r="120" spans="1:14" ht="15">
      <c r="A120" s="13">
        <v>44774</v>
      </c>
      <c r="B120" s="67">
        <f>3.3742 * CHOOSE(CONTROL!$C$22, $C$13, 100%, $E$13)</f>
        <v>3.3742000000000001</v>
      </c>
      <c r="C120" s="67">
        <f>3.3742 * CHOOSE(CONTROL!$C$22, $C$13, 100%, $E$13)</f>
        <v>3.3742000000000001</v>
      </c>
      <c r="D120" s="67">
        <f>3.3797 * CHOOSE(CONTROL!$C$22, $C$13, 100%, $E$13)</f>
        <v>3.3797000000000001</v>
      </c>
      <c r="E120" s="68">
        <f>3.9706 * CHOOSE(CONTROL!$C$22, $C$13, 100%, $E$13)</f>
        <v>3.9706000000000001</v>
      </c>
      <c r="F120" s="68">
        <f>3.9706 * CHOOSE(CONTROL!$C$22, $C$13, 100%, $E$13)</f>
        <v>3.9706000000000001</v>
      </c>
      <c r="G120" s="68">
        <f>3.9774 * CHOOSE(CONTROL!$C$22, $C$13, 100%, $E$13)</f>
        <v>3.9773999999999998</v>
      </c>
      <c r="H120" s="68">
        <f>6.115* CHOOSE(CONTROL!$C$22, $C$13, 100%, $E$13)</f>
        <v>6.1150000000000002</v>
      </c>
      <c r="I120" s="68">
        <f>6.1217 * CHOOSE(CONTROL!$C$22, $C$13, 100%, $E$13)</f>
        <v>6.1216999999999997</v>
      </c>
      <c r="J120" s="68">
        <f>3.9706 * CHOOSE(CONTROL!$C$22, $C$13, 100%, $E$13)</f>
        <v>3.9706000000000001</v>
      </c>
      <c r="K120" s="68">
        <f>3.9774 * CHOOSE(CONTROL!$C$22, $C$13, 100%, $E$13)</f>
        <v>3.9773999999999998</v>
      </c>
      <c r="L120" s="4"/>
      <c r="M120" s="4"/>
      <c r="N120" s="4"/>
    </row>
    <row r="121" spans="1:14" ht="15">
      <c r="A121" s="13">
        <v>44805</v>
      </c>
      <c r="B121" s="67">
        <f>3.3711 * CHOOSE(CONTROL!$C$22, $C$13, 100%, $E$13)</f>
        <v>3.3711000000000002</v>
      </c>
      <c r="C121" s="67">
        <f>3.3711 * CHOOSE(CONTROL!$C$22, $C$13, 100%, $E$13)</f>
        <v>3.3711000000000002</v>
      </c>
      <c r="D121" s="67">
        <f>3.3766 * CHOOSE(CONTROL!$C$22, $C$13, 100%, $E$13)</f>
        <v>3.3765999999999998</v>
      </c>
      <c r="E121" s="68">
        <f>3.9619 * CHOOSE(CONTROL!$C$22, $C$13, 100%, $E$13)</f>
        <v>3.9619</v>
      </c>
      <c r="F121" s="68">
        <f>3.9619 * CHOOSE(CONTROL!$C$22, $C$13, 100%, $E$13)</f>
        <v>3.9619</v>
      </c>
      <c r="G121" s="68">
        <f>3.9687 * CHOOSE(CONTROL!$C$22, $C$13, 100%, $E$13)</f>
        <v>3.9687000000000001</v>
      </c>
      <c r="H121" s="68">
        <f>6.1277* CHOOSE(CONTROL!$C$22, $C$13, 100%, $E$13)</f>
        <v>6.1276999999999999</v>
      </c>
      <c r="I121" s="68">
        <f>6.1345 * CHOOSE(CONTROL!$C$22, $C$13, 100%, $E$13)</f>
        <v>6.1345000000000001</v>
      </c>
      <c r="J121" s="68">
        <f>3.9619 * CHOOSE(CONTROL!$C$22, $C$13, 100%, $E$13)</f>
        <v>3.9619</v>
      </c>
      <c r="K121" s="68">
        <f>3.9687 * CHOOSE(CONTROL!$C$22, $C$13, 100%, $E$13)</f>
        <v>3.9687000000000001</v>
      </c>
      <c r="L121" s="4"/>
      <c r="M121" s="4"/>
      <c r="N121" s="4"/>
    </row>
    <row r="122" spans="1:14" ht="15">
      <c r="A122" s="13">
        <v>44835</v>
      </c>
      <c r="B122" s="67">
        <f>3.3637 * CHOOSE(CONTROL!$C$22, $C$13, 100%, $E$13)</f>
        <v>3.3637000000000001</v>
      </c>
      <c r="C122" s="67">
        <f>3.3637 * CHOOSE(CONTROL!$C$22, $C$13, 100%, $E$13)</f>
        <v>3.3637000000000001</v>
      </c>
      <c r="D122" s="67">
        <f>3.3675 * CHOOSE(CONTROL!$C$22, $C$13, 100%, $E$13)</f>
        <v>3.3675000000000002</v>
      </c>
      <c r="E122" s="68">
        <f>3.9748 * CHOOSE(CONTROL!$C$22, $C$13, 100%, $E$13)</f>
        <v>3.9748000000000001</v>
      </c>
      <c r="F122" s="68">
        <f>3.9748 * CHOOSE(CONTROL!$C$22, $C$13, 100%, $E$13)</f>
        <v>3.9748000000000001</v>
      </c>
      <c r="G122" s="68">
        <f>3.9796 * CHOOSE(CONTROL!$C$22, $C$13, 100%, $E$13)</f>
        <v>3.9796</v>
      </c>
      <c r="H122" s="68">
        <f>6.1405* CHOOSE(CONTROL!$C$22, $C$13, 100%, $E$13)</f>
        <v>6.1405000000000003</v>
      </c>
      <c r="I122" s="68">
        <f>6.1453 * CHOOSE(CONTROL!$C$22, $C$13, 100%, $E$13)</f>
        <v>6.1452999999999998</v>
      </c>
      <c r="J122" s="68">
        <f>3.9748 * CHOOSE(CONTROL!$C$22, $C$13, 100%, $E$13)</f>
        <v>3.9748000000000001</v>
      </c>
      <c r="K122" s="68">
        <f>3.9796 * CHOOSE(CONTROL!$C$22, $C$13, 100%, $E$13)</f>
        <v>3.9796</v>
      </c>
      <c r="L122" s="4"/>
      <c r="M122" s="4"/>
      <c r="N122" s="4"/>
    </row>
    <row r="123" spans="1:14" ht="15">
      <c r="A123" s="13">
        <v>44866</v>
      </c>
      <c r="B123" s="67">
        <f>3.3667 * CHOOSE(CONTROL!$C$22, $C$13, 100%, $E$13)</f>
        <v>3.3666999999999998</v>
      </c>
      <c r="C123" s="67">
        <f>3.3667 * CHOOSE(CONTROL!$C$22, $C$13, 100%, $E$13)</f>
        <v>3.3666999999999998</v>
      </c>
      <c r="D123" s="67">
        <f>3.3706 * CHOOSE(CONTROL!$C$22, $C$13, 100%, $E$13)</f>
        <v>3.3706</v>
      </c>
      <c r="E123" s="68">
        <f>3.9901 * CHOOSE(CONTROL!$C$22, $C$13, 100%, $E$13)</f>
        <v>3.9901</v>
      </c>
      <c r="F123" s="68">
        <f>3.9901 * CHOOSE(CONTROL!$C$22, $C$13, 100%, $E$13)</f>
        <v>3.9901</v>
      </c>
      <c r="G123" s="68">
        <f>3.9949 * CHOOSE(CONTROL!$C$22, $C$13, 100%, $E$13)</f>
        <v>3.9948999999999999</v>
      </c>
      <c r="H123" s="68">
        <f>6.1533* CHOOSE(CONTROL!$C$22, $C$13, 100%, $E$13)</f>
        <v>6.1532999999999998</v>
      </c>
      <c r="I123" s="68">
        <f>6.1581 * CHOOSE(CONTROL!$C$22, $C$13, 100%, $E$13)</f>
        <v>6.1581000000000001</v>
      </c>
      <c r="J123" s="68">
        <f>3.9901 * CHOOSE(CONTROL!$C$22, $C$13, 100%, $E$13)</f>
        <v>3.9901</v>
      </c>
      <c r="K123" s="68">
        <f>3.9949 * CHOOSE(CONTROL!$C$22, $C$13, 100%, $E$13)</f>
        <v>3.9948999999999999</v>
      </c>
      <c r="L123" s="4"/>
      <c r="M123" s="4"/>
      <c r="N123" s="4"/>
    </row>
    <row r="124" spans="1:14" ht="15">
      <c r="A124" s="13">
        <v>44896</v>
      </c>
      <c r="B124" s="67">
        <f>3.3667 * CHOOSE(CONTROL!$C$22, $C$13, 100%, $E$13)</f>
        <v>3.3666999999999998</v>
      </c>
      <c r="C124" s="67">
        <f>3.3667 * CHOOSE(CONTROL!$C$22, $C$13, 100%, $E$13)</f>
        <v>3.3666999999999998</v>
      </c>
      <c r="D124" s="67">
        <f>3.3706 * CHOOSE(CONTROL!$C$22, $C$13, 100%, $E$13)</f>
        <v>3.3706</v>
      </c>
      <c r="E124" s="68">
        <f>3.9572 * CHOOSE(CONTROL!$C$22, $C$13, 100%, $E$13)</f>
        <v>3.9571999999999998</v>
      </c>
      <c r="F124" s="68">
        <f>3.9572 * CHOOSE(CONTROL!$C$22, $C$13, 100%, $E$13)</f>
        <v>3.9571999999999998</v>
      </c>
      <c r="G124" s="68">
        <f>3.962 * CHOOSE(CONTROL!$C$22, $C$13, 100%, $E$13)</f>
        <v>3.9620000000000002</v>
      </c>
      <c r="H124" s="68">
        <f>6.1661* CHOOSE(CONTROL!$C$22, $C$13, 100%, $E$13)</f>
        <v>6.1661000000000001</v>
      </c>
      <c r="I124" s="68">
        <f>6.1709 * CHOOSE(CONTROL!$C$22, $C$13, 100%, $E$13)</f>
        <v>6.1708999999999996</v>
      </c>
      <c r="J124" s="68">
        <f>3.9572 * CHOOSE(CONTROL!$C$22, $C$13, 100%, $E$13)</f>
        <v>3.9571999999999998</v>
      </c>
      <c r="K124" s="68">
        <f>3.962 * CHOOSE(CONTROL!$C$22, $C$13, 100%, $E$13)</f>
        <v>3.9620000000000002</v>
      </c>
      <c r="L124" s="4"/>
      <c r="M124" s="4"/>
      <c r="N124" s="4"/>
    </row>
    <row r="125" spans="1:14" ht="15">
      <c r="A125" s="13">
        <v>44927</v>
      </c>
      <c r="B125" s="67">
        <f>3.3924 * CHOOSE(CONTROL!$C$22, $C$13, 100%, $E$13)</f>
        <v>3.3923999999999999</v>
      </c>
      <c r="C125" s="67">
        <f>3.3924 * CHOOSE(CONTROL!$C$22, $C$13, 100%, $E$13)</f>
        <v>3.3923999999999999</v>
      </c>
      <c r="D125" s="67">
        <f>3.3963 * CHOOSE(CONTROL!$C$22, $C$13, 100%, $E$13)</f>
        <v>3.3963000000000001</v>
      </c>
      <c r="E125" s="68">
        <f>4.0337 * CHOOSE(CONTROL!$C$22, $C$13, 100%, $E$13)</f>
        <v>4.0336999999999996</v>
      </c>
      <c r="F125" s="68">
        <f>4.0337 * CHOOSE(CONTROL!$C$22, $C$13, 100%, $E$13)</f>
        <v>4.0336999999999996</v>
      </c>
      <c r="G125" s="68">
        <f>4.0385 * CHOOSE(CONTROL!$C$22, $C$13, 100%, $E$13)</f>
        <v>4.0385</v>
      </c>
      <c r="H125" s="68">
        <f>6.1789* CHOOSE(CONTROL!$C$22, $C$13, 100%, $E$13)</f>
        <v>6.1788999999999996</v>
      </c>
      <c r="I125" s="68">
        <f>6.1837 * CHOOSE(CONTROL!$C$22, $C$13, 100%, $E$13)</f>
        <v>6.1837</v>
      </c>
      <c r="J125" s="68">
        <f>4.0337 * CHOOSE(CONTROL!$C$22, $C$13, 100%, $E$13)</f>
        <v>4.0336999999999996</v>
      </c>
      <c r="K125" s="68">
        <f>4.0385 * CHOOSE(CONTROL!$C$22, $C$13, 100%, $E$13)</f>
        <v>4.0385</v>
      </c>
      <c r="L125" s="4"/>
      <c r="M125" s="4"/>
      <c r="N125" s="4"/>
    </row>
    <row r="126" spans="1:14" ht="15">
      <c r="A126" s="13">
        <v>44958</v>
      </c>
      <c r="B126" s="67">
        <f>3.3894 * CHOOSE(CONTROL!$C$22, $C$13, 100%, $E$13)</f>
        <v>3.3894000000000002</v>
      </c>
      <c r="C126" s="67">
        <f>3.3894 * CHOOSE(CONTROL!$C$22, $C$13, 100%, $E$13)</f>
        <v>3.3894000000000002</v>
      </c>
      <c r="D126" s="67">
        <f>3.3932 * CHOOSE(CONTROL!$C$22, $C$13, 100%, $E$13)</f>
        <v>3.3932000000000002</v>
      </c>
      <c r="E126" s="68">
        <f>3.9661 * CHOOSE(CONTROL!$C$22, $C$13, 100%, $E$13)</f>
        <v>3.9661</v>
      </c>
      <c r="F126" s="68">
        <f>3.9661 * CHOOSE(CONTROL!$C$22, $C$13, 100%, $E$13)</f>
        <v>3.9661</v>
      </c>
      <c r="G126" s="68">
        <f>3.9709 * CHOOSE(CONTROL!$C$22, $C$13, 100%, $E$13)</f>
        <v>3.9708999999999999</v>
      </c>
      <c r="H126" s="68">
        <f>6.1918* CHOOSE(CONTROL!$C$22, $C$13, 100%, $E$13)</f>
        <v>6.1917999999999997</v>
      </c>
      <c r="I126" s="68">
        <f>6.1966 * CHOOSE(CONTROL!$C$22, $C$13, 100%, $E$13)</f>
        <v>6.1966000000000001</v>
      </c>
      <c r="J126" s="68">
        <f>3.9661 * CHOOSE(CONTROL!$C$22, $C$13, 100%, $E$13)</f>
        <v>3.9661</v>
      </c>
      <c r="K126" s="68">
        <f>3.9709 * CHOOSE(CONTROL!$C$22, $C$13, 100%, $E$13)</f>
        <v>3.9708999999999999</v>
      </c>
      <c r="L126" s="4"/>
      <c r="M126" s="4"/>
      <c r="N126" s="4"/>
    </row>
    <row r="127" spans="1:14" ht="15">
      <c r="A127" s="13">
        <v>44986</v>
      </c>
      <c r="B127" s="67">
        <f>3.3863 * CHOOSE(CONTROL!$C$22, $C$13, 100%, $E$13)</f>
        <v>3.3862999999999999</v>
      </c>
      <c r="C127" s="67">
        <f>3.3863 * CHOOSE(CONTROL!$C$22, $C$13, 100%, $E$13)</f>
        <v>3.3862999999999999</v>
      </c>
      <c r="D127" s="67">
        <f>3.3902 * CHOOSE(CONTROL!$C$22, $C$13, 100%, $E$13)</f>
        <v>3.3902000000000001</v>
      </c>
      <c r="E127" s="68">
        <f>4.0156 * CHOOSE(CONTROL!$C$22, $C$13, 100%, $E$13)</f>
        <v>4.0156000000000001</v>
      </c>
      <c r="F127" s="68">
        <f>4.0156 * CHOOSE(CONTROL!$C$22, $C$13, 100%, $E$13)</f>
        <v>4.0156000000000001</v>
      </c>
      <c r="G127" s="68">
        <f>4.0204 * CHOOSE(CONTROL!$C$22, $C$13, 100%, $E$13)</f>
        <v>4.0204000000000004</v>
      </c>
      <c r="H127" s="68">
        <f>6.2047* CHOOSE(CONTROL!$C$22, $C$13, 100%, $E$13)</f>
        <v>6.2046999999999999</v>
      </c>
      <c r="I127" s="68">
        <f>6.2095 * CHOOSE(CONTROL!$C$22, $C$13, 100%, $E$13)</f>
        <v>6.2095000000000002</v>
      </c>
      <c r="J127" s="68">
        <f>4.0156 * CHOOSE(CONTROL!$C$22, $C$13, 100%, $E$13)</f>
        <v>4.0156000000000001</v>
      </c>
      <c r="K127" s="68">
        <f>4.0204 * CHOOSE(CONTROL!$C$22, $C$13, 100%, $E$13)</f>
        <v>4.0204000000000004</v>
      </c>
      <c r="L127" s="4"/>
      <c r="M127" s="4"/>
      <c r="N127" s="4"/>
    </row>
    <row r="128" spans="1:14" ht="15">
      <c r="A128" s="13">
        <v>45017</v>
      </c>
      <c r="B128" s="67">
        <f>3.3833 * CHOOSE(CONTROL!$C$22, $C$13, 100%, $E$13)</f>
        <v>3.3833000000000002</v>
      </c>
      <c r="C128" s="67">
        <f>3.3833 * CHOOSE(CONTROL!$C$22, $C$13, 100%, $E$13)</f>
        <v>3.3833000000000002</v>
      </c>
      <c r="D128" s="67">
        <f>3.3872 * CHOOSE(CONTROL!$C$22, $C$13, 100%, $E$13)</f>
        <v>3.3872</v>
      </c>
      <c r="E128" s="68">
        <f>4.0669 * CHOOSE(CONTROL!$C$22, $C$13, 100%, $E$13)</f>
        <v>4.0669000000000004</v>
      </c>
      <c r="F128" s="68">
        <f>4.0669 * CHOOSE(CONTROL!$C$22, $C$13, 100%, $E$13)</f>
        <v>4.0669000000000004</v>
      </c>
      <c r="G128" s="68">
        <f>4.0716 * CHOOSE(CONTROL!$C$22, $C$13, 100%, $E$13)</f>
        <v>4.0716000000000001</v>
      </c>
      <c r="H128" s="68">
        <f>6.2176* CHOOSE(CONTROL!$C$22, $C$13, 100%, $E$13)</f>
        <v>6.2176</v>
      </c>
      <c r="I128" s="68">
        <f>6.2224 * CHOOSE(CONTROL!$C$22, $C$13, 100%, $E$13)</f>
        <v>6.2224000000000004</v>
      </c>
      <c r="J128" s="68">
        <f>4.0669 * CHOOSE(CONTROL!$C$22, $C$13, 100%, $E$13)</f>
        <v>4.0669000000000004</v>
      </c>
      <c r="K128" s="68">
        <f>4.0716 * CHOOSE(CONTROL!$C$22, $C$13, 100%, $E$13)</f>
        <v>4.0716000000000001</v>
      </c>
      <c r="L128" s="4"/>
      <c r="M128" s="4"/>
      <c r="N128" s="4"/>
    </row>
    <row r="129" spans="1:14" ht="15">
      <c r="A129" s="13">
        <v>45047</v>
      </c>
      <c r="B129" s="67">
        <f>3.3833 * CHOOSE(CONTROL!$C$22, $C$13, 100%, $E$13)</f>
        <v>3.3833000000000002</v>
      </c>
      <c r="C129" s="67">
        <f>3.3833 * CHOOSE(CONTROL!$C$22, $C$13, 100%, $E$13)</f>
        <v>3.3833000000000002</v>
      </c>
      <c r="D129" s="67">
        <f>3.3888 * CHOOSE(CONTROL!$C$22, $C$13, 100%, $E$13)</f>
        <v>3.3887999999999998</v>
      </c>
      <c r="E129" s="68">
        <f>4.0877 * CHOOSE(CONTROL!$C$22, $C$13, 100%, $E$13)</f>
        <v>4.0876999999999999</v>
      </c>
      <c r="F129" s="68">
        <f>4.0877 * CHOOSE(CONTROL!$C$22, $C$13, 100%, $E$13)</f>
        <v>4.0876999999999999</v>
      </c>
      <c r="G129" s="68">
        <f>4.0944 * CHOOSE(CONTROL!$C$22, $C$13, 100%, $E$13)</f>
        <v>4.0944000000000003</v>
      </c>
      <c r="H129" s="68">
        <f>6.2306* CHOOSE(CONTROL!$C$22, $C$13, 100%, $E$13)</f>
        <v>6.2305999999999999</v>
      </c>
      <c r="I129" s="68">
        <f>6.2373 * CHOOSE(CONTROL!$C$22, $C$13, 100%, $E$13)</f>
        <v>6.2373000000000003</v>
      </c>
      <c r="J129" s="68">
        <f>4.0877 * CHOOSE(CONTROL!$C$22, $C$13, 100%, $E$13)</f>
        <v>4.0876999999999999</v>
      </c>
      <c r="K129" s="68">
        <f>4.0944 * CHOOSE(CONTROL!$C$22, $C$13, 100%, $E$13)</f>
        <v>4.0944000000000003</v>
      </c>
      <c r="L129" s="4"/>
      <c r="M129" s="4"/>
      <c r="N129" s="4"/>
    </row>
    <row r="130" spans="1:14" ht="15">
      <c r="A130" s="13">
        <v>45078</v>
      </c>
      <c r="B130" s="67">
        <f>3.3894 * CHOOSE(CONTROL!$C$22, $C$13, 100%, $E$13)</f>
        <v>3.3894000000000002</v>
      </c>
      <c r="C130" s="67">
        <f>3.3894 * CHOOSE(CONTROL!$C$22, $C$13, 100%, $E$13)</f>
        <v>3.3894000000000002</v>
      </c>
      <c r="D130" s="67">
        <f>3.3949 * CHOOSE(CONTROL!$C$22, $C$13, 100%, $E$13)</f>
        <v>3.3948999999999998</v>
      </c>
      <c r="E130" s="68">
        <f>4.0711 * CHOOSE(CONTROL!$C$22, $C$13, 100%, $E$13)</f>
        <v>4.0711000000000004</v>
      </c>
      <c r="F130" s="68">
        <f>4.0711 * CHOOSE(CONTROL!$C$22, $C$13, 100%, $E$13)</f>
        <v>4.0711000000000004</v>
      </c>
      <c r="G130" s="68">
        <f>4.0779 * CHOOSE(CONTROL!$C$22, $C$13, 100%, $E$13)</f>
        <v>4.0778999999999996</v>
      </c>
      <c r="H130" s="68">
        <f>6.2436* CHOOSE(CONTROL!$C$22, $C$13, 100%, $E$13)</f>
        <v>6.2435999999999998</v>
      </c>
      <c r="I130" s="68">
        <f>6.2503 * CHOOSE(CONTROL!$C$22, $C$13, 100%, $E$13)</f>
        <v>6.2503000000000002</v>
      </c>
      <c r="J130" s="68">
        <f>4.0711 * CHOOSE(CONTROL!$C$22, $C$13, 100%, $E$13)</f>
        <v>4.0711000000000004</v>
      </c>
      <c r="K130" s="68">
        <f>4.0779 * CHOOSE(CONTROL!$C$22, $C$13, 100%, $E$13)</f>
        <v>4.0778999999999996</v>
      </c>
      <c r="L130" s="4"/>
      <c r="M130" s="4"/>
      <c r="N130" s="4"/>
    </row>
    <row r="131" spans="1:14" ht="15">
      <c r="A131" s="13">
        <v>45108</v>
      </c>
      <c r="B131" s="67">
        <f>3.4356 * CHOOSE(CONTROL!$C$22, $C$13, 100%, $E$13)</f>
        <v>3.4356</v>
      </c>
      <c r="C131" s="67">
        <f>3.4356 * CHOOSE(CONTROL!$C$22, $C$13, 100%, $E$13)</f>
        <v>3.4356</v>
      </c>
      <c r="D131" s="67">
        <f>3.4412 * CHOOSE(CONTROL!$C$22, $C$13, 100%, $E$13)</f>
        <v>3.4411999999999998</v>
      </c>
      <c r="E131" s="68">
        <f>4.1492 * CHOOSE(CONTROL!$C$22, $C$13, 100%, $E$13)</f>
        <v>4.1492000000000004</v>
      </c>
      <c r="F131" s="68">
        <f>4.1492 * CHOOSE(CONTROL!$C$22, $C$13, 100%, $E$13)</f>
        <v>4.1492000000000004</v>
      </c>
      <c r="G131" s="68">
        <f>4.156 * CHOOSE(CONTROL!$C$22, $C$13, 100%, $E$13)</f>
        <v>4.1559999999999997</v>
      </c>
      <c r="H131" s="68">
        <f>6.2566* CHOOSE(CONTROL!$C$22, $C$13, 100%, $E$13)</f>
        <v>6.2565999999999997</v>
      </c>
      <c r="I131" s="68">
        <f>6.2633 * CHOOSE(CONTROL!$C$22, $C$13, 100%, $E$13)</f>
        <v>6.2633000000000001</v>
      </c>
      <c r="J131" s="68">
        <f>4.1492 * CHOOSE(CONTROL!$C$22, $C$13, 100%, $E$13)</f>
        <v>4.1492000000000004</v>
      </c>
      <c r="K131" s="68">
        <f>4.156 * CHOOSE(CONTROL!$C$22, $C$13, 100%, $E$13)</f>
        <v>4.1559999999999997</v>
      </c>
      <c r="L131" s="4"/>
      <c r="M131" s="4"/>
      <c r="N131" s="4"/>
    </row>
    <row r="132" spans="1:14" ht="15">
      <c r="A132" s="13">
        <v>45139</v>
      </c>
      <c r="B132" s="67">
        <f>3.4423 * CHOOSE(CONTROL!$C$22, $C$13, 100%, $E$13)</f>
        <v>3.4422999999999999</v>
      </c>
      <c r="C132" s="67">
        <f>3.4423 * CHOOSE(CONTROL!$C$22, $C$13, 100%, $E$13)</f>
        <v>3.4422999999999999</v>
      </c>
      <c r="D132" s="67">
        <f>3.4478 * CHOOSE(CONTROL!$C$22, $C$13, 100%, $E$13)</f>
        <v>3.4478</v>
      </c>
      <c r="E132" s="68">
        <f>4.0915 * CHOOSE(CONTROL!$C$22, $C$13, 100%, $E$13)</f>
        <v>4.0914999999999999</v>
      </c>
      <c r="F132" s="68">
        <f>4.0915 * CHOOSE(CONTROL!$C$22, $C$13, 100%, $E$13)</f>
        <v>4.0914999999999999</v>
      </c>
      <c r="G132" s="68">
        <f>4.0982 * CHOOSE(CONTROL!$C$22, $C$13, 100%, $E$13)</f>
        <v>4.0982000000000003</v>
      </c>
      <c r="H132" s="68">
        <f>6.2696* CHOOSE(CONTROL!$C$22, $C$13, 100%, $E$13)</f>
        <v>6.2695999999999996</v>
      </c>
      <c r="I132" s="68">
        <f>6.2764 * CHOOSE(CONTROL!$C$22, $C$13, 100%, $E$13)</f>
        <v>6.2763999999999998</v>
      </c>
      <c r="J132" s="68">
        <f>4.0915 * CHOOSE(CONTROL!$C$22, $C$13, 100%, $E$13)</f>
        <v>4.0914999999999999</v>
      </c>
      <c r="K132" s="68">
        <f>4.0982 * CHOOSE(CONTROL!$C$22, $C$13, 100%, $E$13)</f>
        <v>4.0982000000000003</v>
      </c>
      <c r="L132" s="4"/>
      <c r="M132" s="4"/>
      <c r="N132" s="4"/>
    </row>
    <row r="133" spans="1:14" ht="15">
      <c r="A133" s="13">
        <v>45170</v>
      </c>
      <c r="B133" s="67">
        <f>3.4393 * CHOOSE(CONTROL!$C$22, $C$13, 100%, $E$13)</f>
        <v>3.4392999999999998</v>
      </c>
      <c r="C133" s="67">
        <f>3.4393 * CHOOSE(CONTROL!$C$22, $C$13, 100%, $E$13)</f>
        <v>3.4392999999999998</v>
      </c>
      <c r="D133" s="67">
        <f>3.4448 * CHOOSE(CONTROL!$C$22, $C$13, 100%, $E$13)</f>
        <v>3.4447999999999999</v>
      </c>
      <c r="E133" s="68">
        <f>4.0824 * CHOOSE(CONTROL!$C$22, $C$13, 100%, $E$13)</f>
        <v>4.0823999999999998</v>
      </c>
      <c r="F133" s="68">
        <f>4.0824 * CHOOSE(CONTROL!$C$22, $C$13, 100%, $E$13)</f>
        <v>4.0823999999999998</v>
      </c>
      <c r="G133" s="68">
        <f>4.0892 * CHOOSE(CONTROL!$C$22, $C$13, 100%, $E$13)</f>
        <v>4.0891999999999999</v>
      </c>
      <c r="H133" s="68">
        <f>6.2827* CHOOSE(CONTROL!$C$22, $C$13, 100%, $E$13)</f>
        <v>6.2827000000000002</v>
      </c>
      <c r="I133" s="68">
        <f>6.2894 * CHOOSE(CONTROL!$C$22, $C$13, 100%, $E$13)</f>
        <v>6.2893999999999997</v>
      </c>
      <c r="J133" s="68">
        <f>4.0824 * CHOOSE(CONTROL!$C$22, $C$13, 100%, $E$13)</f>
        <v>4.0823999999999998</v>
      </c>
      <c r="K133" s="68">
        <f>4.0892 * CHOOSE(CONTROL!$C$22, $C$13, 100%, $E$13)</f>
        <v>4.0891999999999999</v>
      </c>
      <c r="L133" s="4"/>
      <c r="M133" s="4"/>
      <c r="N133" s="4"/>
    </row>
    <row r="134" spans="1:14" ht="15">
      <c r="A134" s="13">
        <v>45200</v>
      </c>
      <c r="B134" s="67">
        <f>3.4321 * CHOOSE(CONTROL!$C$22, $C$13, 100%, $E$13)</f>
        <v>3.4321000000000002</v>
      </c>
      <c r="C134" s="67">
        <f>3.4321 * CHOOSE(CONTROL!$C$22, $C$13, 100%, $E$13)</f>
        <v>3.4321000000000002</v>
      </c>
      <c r="D134" s="67">
        <f>3.436 * CHOOSE(CONTROL!$C$22, $C$13, 100%, $E$13)</f>
        <v>3.4359999999999999</v>
      </c>
      <c r="E134" s="68">
        <f>4.0968 * CHOOSE(CONTROL!$C$22, $C$13, 100%, $E$13)</f>
        <v>4.0968</v>
      </c>
      <c r="F134" s="68">
        <f>4.0968 * CHOOSE(CONTROL!$C$22, $C$13, 100%, $E$13)</f>
        <v>4.0968</v>
      </c>
      <c r="G134" s="68">
        <f>4.1015 * CHOOSE(CONTROL!$C$22, $C$13, 100%, $E$13)</f>
        <v>4.1014999999999997</v>
      </c>
      <c r="H134" s="68">
        <f>6.2958* CHOOSE(CONTROL!$C$22, $C$13, 100%, $E$13)</f>
        <v>6.2957999999999998</v>
      </c>
      <c r="I134" s="68">
        <f>6.3005 * CHOOSE(CONTROL!$C$22, $C$13, 100%, $E$13)</f>
        <v>6.3005000000000004</v>
      </c>
      <c r="J134" s="68">
        <f>4.0968 * CHOOSE(CONTROL!$C$22, $C$13, 100%, $E$13)</f>
        <v>4.0968</v>
      </c>
      <c r="K134" s="68">
        <f>4.1015 * CHOOSE(CONTROL!$C$22, $C$13, 100%, $E$13)</f>
        <v>4.1014999999999997</v>
      </c>
      <c r="L134" s="4"/>
      <c r="M134" s="4"/>
      <c r="N134" s="4"/>
    </row>
    <row r="135" spans="1:14" ht="15">
      <c r="A135" s="13">
        <v>45231</v>
      </c>
      <c r="B135" s="67">
        <f>3.4352 * CHOOSE(CONTROL!$C$22, $C$13, 100%, $E$13)</f>
        <v>3.4352</v>
      </c>
      <c r="C135" s="67">
        <f>3.4352 * CHOOSE(CONTROL!$C$22, $C$13, 100%, $E$13)</f>
        <v>3.4352</v>
      </c>
      <c r="D135" s="67">
        <f>3.439 * CHOOSE(CONTROL!$C$22, $C$13, 100%, $E$13)</f>
        <v>3.4390000000000001</v>
      </c>
      <c r="E135" s="68">
        <f>4.1127 * CHOOSE(CONTROL!$C$22, $C$13, 100%, $E$13)</f>
        <v>4.1127000000000002</v>
      </c>
      <c r="F135" s="68">
        <f>4.1127 * CHOOSE(CONTROL!$C$22, $C$13, 100%, $E$13)</f>
        <v>4.1127000000000002</v>
      </c>
      <c r="G135" s="68">
        <f>4.1175 * CHOOSE(CONTROL!$C$22, $C$13, 100%, $E$13)</f>
        <v>4.1174999999999997</v>
      </c>
      <c r="H135" s="68">
        <f>6.3089* CHOOSE(CONTROL!$C$22, $C$13, 100%, $E$13)</f>
        <v>6.3089000000000004</v>
      </c>
      <c r="I135" s="68">
        <f>6.3137 * CHOOSE(CONTROL!$C$22, $C$13, 100%, $E$13)</f>
        <v>6.3136999999999999</v>
      </c>
      <c r="J135" s="68">
        <f>4.1127 * CHOOSE(CONTROL!$C$22, $C$13, 100%, $E$13)</f>
        <v>4.1127000000000002</v>
      </c>
      <c r="K135" s="68">
        <f>4.1175 * CHOOSE(CONTROL!$C$22, $C$13, 100%, $E$13)</f>
        <v>4.1174999999999997</v>
      </c>
      <c r="L135" s="4"/>
      <c r="M135" s="4"/>
      <c r="N135" s="4"/>
    </row>
    <row r="136" spans="1:14" ht="15">
      <c r="A136" s="13">
        <v>45261</v>
      </c>
      <c r="B136" s="67">
        <f>3.4352 * CHOOSE(CONTROL!$C$22, $C$13, 100%, $E$13)</f>
        <v>3.4352</v>
      </c>
      <c r="C136" s="67">
        <f>3.4352 * CHOOSE(CONTROL!$C$22, $C$13, 100%, $E$13)</f>
        <v>3.4352</v>
      </c>
      <c r="D136" s="67">
        <f>3.439 * CHOOSE(CONTROL!$C$22, $C$13, 100%, $E$13)</f>
        <v>3.4390000000000001</v>
      </c>
      <c r="E136" s="68">
        <f>4.0781 * CHOOSE(CONTROL!$C$22, $C$13, 100%, $E$13)</f>
        <v>4.0781000000000001</v>
      </c>
      <c r="F136" s="68">
        <f>4.0781 * CHOOSE(CONTROL!$C$22, $C$13, 100%, $E$13)</f>
        <v>4.0781000000000001</v>
      </c>
      <c r="G136" s="68">
        <f>4.0828 * CHOOSE(CONTROL!$C$22, $C$13, 100%, $E$13)</f>
        <v>4.0827999999999998</v>
      </c>
      <c r="H136" s="68">
        <f>6.322* CHOOSE(CONTROL!$C$22, $C$13, 100%, $E$13)</f>
        <v>6.3220000000000001</v>
      </c>
      <c r="I136" s="68">
        <f>6.3268 * CHOOSE(CONTROL!$C$22, $C$13, 100%, $E$13)</f>
        <v>6.3268000000000004</v>
      </c>
      <c r="J136" s="68">
        <f>4.0781 * CHOOSE(CONTROL!$C$22, $C$13, 100%, $E$13)</f>
        <v>4.0781000000000001</v>
      </c>
      <c r="K136" s="68">
        <f>4.0828 * CHOOSE(CONTROL!$C$22, $C$13, 100%, $E$13)</f>
        <v>4.0827999999999998</v>
      </c>
      <c r="L136" s="4"/>
      <c r="M136" s="4"/>
      <c r="N136" s="4"/>
    </row>
    <row r="137" spans="1:14" ht="15">
      <c r="A137" s="13">
        <v>45292</v>
      </c>
      <c r="B137" s="67">
        <f>3.4652 * CHOOSE(CONTROL!$C$22, $C$13, 100%, $E$13)</f>
        <v>3.4651999999999998</v>
      </c>
      <c r="C137" s="67">
        <f>3.4652 * CHOOSE(CONTROL!$C$22, $C$13, 100%, $E$13)</f>
        <v>3.4651999999999998</v>
      </c>
      <c r="D137" s="67">
        <f>3.469 * CHOOSE(CONTROL!$C$22, $C$13, 100%, $E$13)</f>
        <v>3.4689999999999999</v>
      </c>
      <c r="E137" s="68">
        <f>4.1228 * CHOOSE(CONTROL!$C$22, $C$13, 100%, $E$13)</f>
        <v>4.1227999999999998</v>
      </c>
      <c r="F137" s="68">
        <f>4.1228 * CHOOSE(CONTROL!$C$22, $C$13, 100%, $E$13)</f>
        <v>4.1227999999999998</v>
      </c>
      <c r="G137" s="68">
        <f>4.1275 * CHOOSE(CONTROL!$C$22, $C$13, 100%, $E$13)</f>
        <v>4.1275000000000004</v>
      </c>
      <c r="H137" s="68">
        <f>6.3352* CHOOSE(CONTROL!$C$22, $C$13, 100%, $E$13)</f>
        <v>6.3352000000000004</v>
      </c>
      <c r="I137" s="68">
        <f>6.34 * CHOOSE(CONTROL!$C$22, $C$13, 100%, $E$13)</f>
        <v>6.34</v>
      </c>
      <c r="J137" s="68">
        <f>4.1228 * CHOOSE(CONTROL!$C$22, $C$13, 100%, $E$13)</f>
        <v>4.1227999999999998</v>
      </c>
      <c r="K137" s="68">
        <f>4.1275 * CHOOSE(CONTROL!$C$22, $C$13, 100%, $E$13)</f>
        <v>4.1275000000000004</v>
      </c>
      <c r="L137" s="4"/>
      <c r="M137" s="4"/>
      <c r="N137" s="4"/>
    </row>
    <row r="138" spans="1:14" ht="15">
      <c r="A138" s="13">
        <v>45323</v>
      </c>
      <c r="B138" s="67">
        <f>3.4621 * CHOOSE(CONTROL!$C$22, $C$13, 100%, $E$13)</f>
        <v>3.4621</v>
      </c>
      <c r="C138" s="67">
        <f>3.4621 * CHOOSE(CONTROL!$C$22, $C$13, 100%, $E$13)</f>
        <v>3.4621</v>
      </c>
      <c r="D138" s="67">
        <f>3.466 * CHOOSE(CONTROL!$C$22, $C$13, 100%, $E$13)</f>
        <v>3.4660000000000002</v>
      </c>
      <c r="E138" s="68">
        <f>4.0546 * CHOOSE(CONTROL!$C$22, $C$13, 100%, $E$13)</f>
        <v>4.0545999999999998</v>
      </c>
      <c r="F138" s="68">
        <f>4.0546 * CHOOSE(CONTROL!$C$22, $C$13, 100%, $E$13)</f>
        <v>4.0545999999999998</v>
      </c>
      <c r="G138" s="68">
        <f>4.0594 * CHOOSE(CONTROL!$C$22, $C$13, 100%, $E$13)</f>
        <v>4.0594000000000001</v>
      </c>
      <c r="H138" s="68">
        <f>6.3484* CHOOSE(CONTROL!$C$22, $C$13, 100%, $E$13)</f>
        <v>6.3483999999999998</v>
      </c>
      <c r="I138" s="68">
        <f>6.3532 * CHOOSE(CONTROL!$C$22, $C$13, 100%, $E$13)</f>
        <v>6.3532000000000002</v>
      </c>
      <c r="J138" s="68">
        <f>4.0546 * CHOOSE(CONTROL!$C$22, $C$13, 100%, $E$13)</f>
        <v>4.0545999999999998</v>
      </c>
      <c r="K138" s="68">
        <f>4.0594 * CHOOSE(CONTROL!$C$22, $C$13, 100%, $E$13)</f>
        <v>4.0594000000000001</v>
      </c>
      <c r="L138" s="4"/>
      <c r="M138" s="4"/>
      <c r="N138" s="4"/>
    </row>
    <row r="139" spans="1:14" ht="15">
      <c r="A139" s="13">
        <v>45352</v>
      </c>
      <c r="B139" s="67">
        <f>3.4591 * CHOOSE(CONTROL!$C$22, $C$13, 100%, $E$13)</f>
        <v>3.4590999999999998</v>
      </c>
      <c r="C139" s="67">
        <f>3.4591 * CHOOSE(CONTROL!$C$22, $C$13, 100%, $E$13)</f>
        <v>3.4590999999999998</v>
      </c>
      <c r="D139" s="67">
        <f>3.463 * CHOOSE(CONTROL!$C$22, $C$13, 100%, $E$13)</f>
        <v>3.4630000000000001</v>
      </c>
      <c r="E139" s="68">
        <f>4.1046 * CHOOSE(CONTROL!$C$22, $C$13, 100%, $E$13)</f>
        <v>4.1045999999999996</v>
      </c>
      <c r="F139" s="68">
        <f>4.1046 * CHOOSE(CONTROL!$C$22, $C$13, 100%, $E$13)</f>
        <v>4.1045999999999996</v>
      </c>
      <c r="G139" s="68">
        <f>4.1093 * CHOOSE(CONTROL!$C$22, $C$13, 100%, $E$13)</f>
        <v>4.1093000000000002</v>
      </c>
      <c r="H139" s="68">
        <f>6.3616* CHOOSE(CONTROL!$C$22, $C$13, 100%, $E$13)</f>
        <v>6.3616000000000001</v>
      </c>
      <c r="I139" s="68">
        <f>6.3664 * CHOOSE(CONTROL!$C$22, $C$13, 100%, $E$13)</f>
        <v>6.3663999999999996</v>
      </c>
      <c r="J139" s="68">
        <f>4.1046 * CHOOSE(CONTROL!$C$22, $C$13, 100%, $E$13)</f>
        <v>4.1045999999999996</v>
      </c>
      <c r="K139" s="68">
        <f>4.1093 * CHOOSE(CONTROL!$C$22, $C$13, 100%, $E$13)</f>
        <v>4.1093000000000002</v>
      </c>
      <c r="L139" s="4"/>
      <c r="M139" s="4"/>
      <c r="N139" s="4"/>
    </row>
    <row r="140" spans="1:14" ht="15">
      <c r="A140" s="13">
        <v>45383</v>
      </c>
      <c r="B140" s="67">
        <f>3.4562 * CHOOSE(CONTROL!$C$22, $C$13, 100%, $E$13)</f>
        <v>3.4561999999999999</v>
      </c>
      <c r="C140" s="67">
        <f>3.4562 * CHOOSE(CONTROL!$C$22, $C$13, 100%, $E$13)</f>
        <v>3.4561999999999999</v>
      </c>
      <c r="D140" s="67">
        <f>3.4601 * CHOOSE(CONTROL!$C$22, $C$13, 100%, $E$13)</f>
        <v>3.4601000000000002</v>
      </c>
      <c r="E140" s="68">
        <f>4.1563 * CHOOSE(CONTROL!$C$22, $C$13, 100%, $E$13)</f>
        <v>4.1562999999999999</v>
      </c>
      <c r="F140" s="68">
        <f>4.1563 * CHOOSE(CONTROL!$C$22, $C$13, 100%, $E$13)</f>
        <v>4.1562999999999999</v>
      </c>
      <c r="G140" s="68">
        <f>4.161 * CHOOSE(CONTROL!$C$22, $C$13, 100%, $E$13)</f>
        <v>4.1609999999999996</v>
      </c>
      <c r="H140" s="68">
        <f>6.3749* CHOOSE(CONTROL!$C$22, $C$13, 100%, $E$13)</f>
        <v>6.3749000000000002</v>
      </c>
      <c r="I140" s="68">
        <f>6.3797 * CHOOSE(CONTROL!$C$22, $C$13, 100%, $E$13)</f>
        <v>6.3796999999999997</v>
      </c>
      <c r="J140" s="68">
        <f>4.1563 * CHOOSE(CONTROL!$C$22, $C$13, 100%, $E$13)</f>
        <v>4.1562999999999999</v>
      </c>
      <c r="K140" s="68">
        <f>4.161 * CHOOSE(CONTROL!$C$22, $C$13, 100%, $E$13)</f>
        <v>4.1609999999999996</v>
      </c>
      <c r="L140" s="4"/>
      <c r="M140" s="4"/>
      <c r="N140" s="4"/>
    </row>
    <row r="141" spans="1:14" ht="15">
      <c r="A141" s="13">
        <v>45413</v>
      </c>
      <c r="B141" s="67">
        <f>3.4562 * CHOOSE(CONTROL!$C$22, $C$13, 100%, $E$13)</f>
        <v>3.4561999999999999</v>
      </c>
      <c r="C141" s="67">
        <f>3.4562 * CHOOSE(CONTROL!$C$22, $C$13, 100%, $E$13)</f>
        <v>3.4561999999999999</v>
      </c>
      <c r="D141" s="67">
        <f>3.4617 * CHOOSE(CONTROL!$C$22, $C$13, 100%, $E$13)</f>
        <v>3.4617</v>
      </c>
      <c r="E141" s="68">
        <f>4.1772 * CHOOSE(CONTROL!$C$22, $C$13, 100%, $E$13)</f>
        <v>4.1772</v>
      </c>
      <c r="F141" s="68">
        <f>4.1772 * CHOOSE(CONTROL!$C$22, $C$13, 100%, $E$13)</f>
        <v>4.1772</v>
      </c>
      <c r="G141" s="68">
        <f>4.184 * CHOOSE(CONTROL!$C$22, $C$13, 100%, $E$13)</f>
        <v>4.1840000000000002</v>
      </c>
      <c r="H141" s="68">
        <f>6.3882* CHOOSE(CONTROL!$C$22, $C$13, 100%, $E$13)</f>
        <v>6.3882000000000003</v>
      </c>
      <c r="I141" s="68">
        <f>6.3949 * CHOOSE(CONTROL!$C$22, $C$13, 100%, $E$13)</f>
        <v>6.3948999999999998</v>
      </c>
      <c r="J141" s="68">
        <f>4.1772 * CHOOSE(CONTROL!$C$22, $C$13, 100%, $E$13)</f>
        <v>4.1772</v>
      </c>
      <c r="K141" s="68">
        <f>4.184 * CHOOSE(CONTROL!$C$22, $C$13, 100%, $E$13)</f>
        <v>4.1840000000000002</v>
      </c>
      <c r="L141" s="4"/>
      <c r="M141" s="4"/>
      <c r="N141" s="4"/>
    </row>
    <row r="142" spans="1:14" ht="15">
      <c r="A142" s="13">
        <v>45444</v>
      </c>
      <c r="B142" s="67">
        <f>3.4623 * CHOOSE(CONTROL!$C$22, $C$13, 100%, $E$13)</f>
        <v>3.4622999999999999</v>
      </c>
      <c r="C142" s="67">
        <f>3.4623 * CHOOSE(CONTROL!$C$22, $C$13, 100%, $E$13)</f>
        <v>3.4622999999999999</v>
      </c>
      <c r="D142" s="67">
        <f>3.4678 * CHOOSE(CONTROL!$C$22, $C$13, 100%, $E$13)</f>
        <v>3.4678</v>
      </c>
      <c r="E142" s="68">
        <f>4.1605 * CHOOSE(CONTROL!$C$22, $C$13, 100%, $E$13)</f>
        <v>4.1604999999999999</v>
      </c>
      <c r="F142" s="68">
        <f>4.1605 * CHOOSE(CONTROL!$C$22, $C$13, 100%, $E$13)</f>
        <v>4.1604999999999999</v>
      </c>
      <c r="G142" s="68">
        <f>4.1672 * CHOOSE(CONTROL!$C$22, $C$13, 100%, $E$13)</f>
        <v>4.1672000000000002</v>
      </c>
      <c r="H142" s="68">
        <f>6.4015* CHOOSE(CONTROL!$C$22, $C$13, 100%, $E$13)</f>
        <v>6.4015000000000004</v>
      </c>
      <c r="I142" s="68">
        <f>6.4082 * CHOOSE(CONTROL!$C$22, $C$13, 100%, $E$13)</f>
        <v>6.4081999999999999</v>
      </c>
      <c r="J142" s="68">
        <f>4.1605 * CHOOSE(CONTROL!$C$22, $C$13, 100%, $E$13)</f>
        <v>4.1604999999999999</v>
      </c>
      <c r="K142" s="68">
        <f>4.1672 * CHOOSE(CONTROL!$C$22, $C$13, 100%, $E$13)</f>
        <v>4.1672000000000002</v>
      </c>
      <c r="L142" s="4"/>
      <c r="M142" s="4"/>
      <c r="N142" s="4"/>
    </row>
    <row r="143" spans="1:14" ht="15">
      <c r="A143" s="13">
        <v>45474</v>
      </c>
      <c r="B143" s="67">
        <f>3.5185 * CHOOSE(CONTROL!$C$22, $C$13, 100%, $E$13)</f>
        <v>3.5185</v>
      </c>
      <c r="C143" s="67">
        <f>3.5185 * CHOOSE(CONTROL!$C$22, $C$13, 100%, $E$13)</f>
        <v>3.5185</v>
      </c>
      <c r="D143" s="67">
        <f>3.524 * CHOOSE(CONTROL!$C$22, $C$13, 100%, $E$13)</f>
        <v>3.524</v>
      </c>
      <c r="E143" s="68">
        <f>4.2301 * CHOOSE(CONTROL!$C$22, $C$13, 100%, $E$13)</f>
        <v>4.2301000000000002</v>
      </c>
      <c r="F143" s="68">
        <f>4.2301 * CHOOSE(CONTROL!$C$22, $C$13, 100%, $E$13)</f>
        <v>4.2301000000000002</v>
      </c>
      <c r="G143" s="68">
        <f>4.2368 * CHOOSE(CONTROL!$C$22, $C$13, 100%, $E$13)</f>
        <v>4.2367999999999997</v>
      </c>
      <c r="H143" s="68">
        <f>6.4148* CHOOSE(CONTROL!$C$22, $C$13, 100%, $E$13)</f>
        <v>6.4147999999999996</v>
      </c>
      <c r="I143" s="68">
        <f>6.4215 * CHOOSE(CONTROL!$C$22, $C$13, 100%, $E$13)</f>
        <v>6.4215</v>
      </c>
      <c r="J143" s="68">
        <f>4.2301 * CHOOSE(CONTROL!$C$22, $C$13, 100%, $E$13)</f>
        <v>4.2301000000000002</v>
      </c>
      <c r="K143" s="68">
        <f>4.2368 * CHOOSE(CONTROL!$C$22, $C$13, 100%, $E$13)</f>
        <v>4.2367999999999997</v>
      </c>
      <c r="L143" s="4"/>
      <c r="M143" s="4"/>
      <c r="N143" s="4"/>
    </row>
    <row r="144" spans="1:14" ht="15">
      <c r="A144" s="13">
        <v>45505</v>
      </c>
      <c r="B144" s="67">
        <f>3.5251 * CHOOSE(CONTROL!$C$22, $C$13, 100%, $E$13)</f>
        <v>3.5251000000000001</v>
      </c>
      <c r="C144" s="67">
        <f>3.5251 * CHOOSE(CONTROL!$C$22, $C$13, 100%, $E$13)</f>
        <v>3.5251000000000001</v>
      </c>
      <c r="D144" s="67">
        <f>3.5306 * CHOOSE(CONTROL!$C$22, $C$13, 100%, $E$13)</f>
        <v>3.5306000000000002</v>
      </c>
      <c r="E144" s="68">
        <f>4.1718 * CHOOSE(CONTROL!$C$22, $C$13, 100%, $E$13)</f>
        <v>4.1718000000000002</v>
      </c>
      <c r="F144" s="68">
        <f>4.1718 * CHOOSE(CONTROL!$C$22, $C$13, 100%, $E$13)</f>
        <v>4.1718000000000002</v>
      </c>
      <c r="G144" s="68">
        <f>4.1786 * CHOOSE(CONTROL!$C$22, $C$13, 100%, $E$13)</f>
        <v>4.1786000000000003</v>
      </c>
      <c r="H144" s="68">
        <f>6.4282* CHOOSE(CONTROL!$C$22, $C$13, 100%, $E$13)</f>
        <v>6.4282000000000004</v>
      </c>
      <c r="I144" s="68">
        <f>6.4349 * CHOOSE(CONTROL!$C$22, $C$13, 100%, $E$13)</f>
        <v>6.4348999999999998</v>
      </c>
      <c r="J144" s="68">
        <f>4.1718 * CHOOSE(CONTROL!$C$22, $C$13, 100%, $E$13)</f>
        <v>4.1718000000000002</v>
      </c>
      <c r="K144" s="68">
        <f>4.1786 * CHOOSE(CONTROL!$C$22, $C$13, 100%, $E$13)</f>
        <v>4.1786000000000003</v>
      </c>
      <c r="L144" s="4"/>
      <c r="M144" s="4"/>
      <c r="N144" s="4"/>
    </row>
    <row r="145" spans="1:14" ht="15">
      <c r="A145" s="13">
        <v>45536</v>
      </c>
      <c r="B145" s="67">
        <f>3.5221 * CHOOSE(CONTROL!$C$22, $C$13, 100%, $E$13)</f>
        <v>3.5221</v>
      </c>
      <c r="C145" s="67">
        <f>3.5221 * CHOOSE(CONTROL!$C$22, $C$13, 100%, $E$13)</f>
        <v>3.5221</v>
      </c>
      <c r="D145" s="67">
        <f>3.5276 * CHOOSE(CONTROL!$C$22, $C$13, 100%, $E$13)</f>
        <v>3.5276000000000001</v>
      </c>
      <c r="E145" s="68">
        <f>4.1627 * CHOOSE(CONTROL!$C$22, $C$13, 100%, $E$13)</f>
        <v>4.1627000000000001</v>
      </c>
      <c r="F145" s="68">
        <f>4.1627 * CHOOSE(CONTROL!$C$22, $C$13, 100%, $E$13)</f>
        <v>4.1627000000000001</v>
      </c>
      <c r="G145" s="68">
        <f>4.1694 * CHOOSE(CONTROL!$C$22, $C$13, 100%, $E$13)</f>
        <v>4.1694000000000004</v>
      </c>
      <c r="H145" s="68">
        <f>6.4416* CHOOSE(CONTROL!$C$22, $C$13, 100%, $E$13)</f>
        <v>6.4416000000000002</v>
      </c>
      <c r="I145" s="68">
        <f>6.4483 * CHOOSE(CONTROL!$C$22, $C$13, 100%, $E$13)</f>
        <v>6.4482999999999997</v>
      </c>
      <c r="J145" s="68">
        <f>4.1627 * CHOOSE(CONTROL!$C$22, $C$13, 100%, $E$13)</f>
        <v>4.1627000000000001</v>
      </c>
      <c r="K145" s="68">
        <f>4.1694 * CHOOSE(CONTROL!$C$22, $C$13, 100%, $E$13)</f>
        <v>4.1694000000000004</v>
      </c>
      <c r="L145" s="4"/>
      <c r="M145" s="4"/>
      <c r="N145" s="4"/>
    </row>
    <row r="146" spans="1:14" ht="15">
      <c r="A146" s="13">
        <v>45566</v>
      </c>
      <c r="B146" s="67">
        <f>3.5152 * CHOOSE(CONTROL!$C$22, $C$13, 100%, $E$13)</f>
        <v>3.5152000000000001</v>
      </c>
      <c r="C146" s="67">
        <f>3.5152 * CHOOSE(CONTROL!$C$22, $C$13, 100%, $E$13)</f>
        <v>3.5152000000000001</v>
      </c>
      <c r="D146" s="67">
        <f>3.5191 * CHOOSE(CONTROL!$C$22, $C$13, 100%, $E$13)</f>
        <v>3.5190999999999999</v>
      </c>
      <c r="E146" s="68">
        <f>4.1773 * CHOOSE(CONTROL!$C$22, $C$13, 100%, $E$13)</f>
        <v>4.1772999999999998</v>
      </c>
      <c r="F146" s="68">
        <f>4.1773 * CHOOSE(CONTROL!$C$22, $C$13, 100%, $E$13)</f>
        <v>4.1772999999999998</v>
      </c>
      <c r="G146" s="68">
        <f>4.182 * CHOOSE(CONTROL!$C$22, $C$13, 100%, $E$13)</f>
        <v>4.1820000000000004</v>
      </c>
      <c r="H146" s="68">
        <f>6.455* CHOOSE(CONTROL!$C$22, $C$13, 100%, $E$13)</f>
        <v>6.4550000000000001</v>
      </c>
      <c r="I146" s="68">
        <f>6.4598 * CHOOSE(CONTROL!$C$22, $C$13, 100%, $E$13)</f>
        <v>6.4598000000000004</v>
      </c>
      <c r="J146" s="68">
        <f>4.1773 * CHOOSE(CONTROL!$C$22, $C$13, 100%, $E$13)</f>
        <v>4.1772999999999998</v>
      </c>
      <c r="K146" s="68">
        <f>4.182 * CHOOSE(CONTROL!$C$22, $C$13, 100%, $E$13)</f>
        <v>4.1820000000000004</v>
      </c>
      <c r="L146" s="4"/>
      <c r="M146" s="4"/>
      <c r="N146" s="4"/>
    </row>
    <row r="147" spans="1:14" ht="15">
      <c r="A147" s="13">
        <v>45597</v>
      </c>
      <c r="B147" s="67">
        <f>3.5183 * CHOOSE(CONTROL!$C$22, $C$13, 100%, $E$13)</f>
        <v>3.5183</v>
      </c>
      <c r="C147" s="67">
        <f>3.5183 * CHOOSE(CONTROL!$C$22, $C$13, 100%, $E$13)</f>
        <v>3.5183</v>
      </c>
      <c r="D147" s="67">
        <f>3.5222 * CHOOSE(CONTROL!$C$22, $C$13, 100%, $E$13)</f>
        <v>3.5222000000000002</v>
      </c>
      <c r="E147" s="68">
        <f>4.1934 * CHOOSE(CONTROL!$C$22, $C$13, 100%, $E$13)</f>
        <v>4.1933999999999996</v>
      </c>
      <c r="F147" s="68">
        <f>4.1934 * CHOOSE(CONTROL!$C$22, $C$13, 100%, $E$13)</f>
        <v>4.1933999999999996</v>
      </c>
      <c r="G147" s="68">
        <f>4.1981 * CHOOSE(CONTROL!$C$22, $C$13, 100%, $E$13)</f>
        <v>4.1981000000000002</v>
      </c>
      <c r="H147" s="68">
        <f>6.4684* CHOOSE(CONTROL!$C$22, $C$13, 100%, $E$13)</f>
        <v>6.4683999999999999</v>
      </c>
      <c r="I147" s="68">
        <f>6.4732 * CHOOSE(CONTROL!$C$22, $C$13, 100%, $E$13)</f>
        <v>6.4732000000000003</v>
      </c>
      <c r="J147" s="68">
        <f>4.1934 * CHOOSE(CONTROL!$C$22, $C$13, 100%, $E$13)</f>
        <v>4.1933999999999996</v>
      </c>
      <c r="K147" s="68">
        <f>4.1981 * CHOOSE(CONTROL!$C$22, $C$13, 100%, $E$13)</f>
        <v>4.1981000000000002</v>
      </c>
      <c r="L147" s="4"/>
      <c r="M147" s="4"/>
      <c r="N147" s="4"/>
    </row>
    <row r="148" spans="1:14" ht="15">
      <c r="A148" s="13">
        <v>45627</v>
      </c>
      <c r="B148" s="67">
        <f>3.5183 * CHOOSE(CONTROL!$C$22, $C$13, 100%, $E$13)</f>
        <v>3.5183</v>
      </c>
      <c r="C148" s="67">
        <f>3.5183 * CHOOSE(CONTROL!$C$22, $C$13, 100%, $E$13)</f>
        <v>3.5183</v>
      </c>
      <c r="D148" s="67">
        <f>3.5222 * CHOOSE(CONTROL!$C$22, $C$13, 100%, $E$13)</f>
        <v>3.5222000000000002</v>
      </c>
      <c r="E148" s="68">
        <f>4.1584 * CHOOSE(CONTROL!$C$22, $C$13, 100%, $E$13)</f>
        <v>4.1584000000000003</v>
      </c>
      <c r="F148" s="68">
        <f>4.1584 * CHOOSE(CONTROL!$C$22, $C$13, 100%, $E$13)</f>
        <v>4.1584000000000003</v>
      </c>
      <c r="G148" s="68">
        <f>4.1632 * CHOOSE(CONTROL!$C$22, $C$13, 100%, $E$13)</f>
        <v>4.1631999999999998</v>
      </c>
      <c r="H148" s="68">
        <f>6.4819* CHOOSE(CONTROL!$C$22, $C$13, 100%, $E$13)</f>
        <v>6.4819000000000004</v>
      </c>
      <c r="I148" s="68">
        <f>6.4867 * CHOOSE(CONTROL!$C$22, $C$13, 100%, $E$13)</f>
        <v>6.4866999999999999</v>
      </c>
      <c r="J148" s="68">
        <f>4.1584 * CHOOSE(CONTROL!$C$22, $C$13, 100%, $E$13)</f>
        <v>4.1584000000000003</v>
      </c>
      <c r="K148" s="68">
        <f>4.1632 * CHOOSE(CONTROL!$C$22, $C$13, 100%, $E$13)</f>
        <v>4.1631999999999998</v>
      </c>
      <c r="L148" s="4"/>
      <c r="M148" s="4"/>
      <c r="N148" s="4"/>
    </row>
    <row r="149" spans="1:14" ht="15">
      <c r="A149" s="13">
        <v>45658</v>
      </c>
      <c r="B149" s="67">
        <f>3.5476 * CHOOSE(CONTROL!$C$22, $C$13, 100%, $E$13)</f>
        <v>3.5476000000000001</v>
      </c>
      <c r="C149" s="67">
        <f>3.5476 * CHOOSE(CONTROL!$C$22, $C$13, 100%, $E$13)</f>
        <v>3.5476000000000001</v>
      </c>
      <c r="D149" s="67">
        <f>3.5514 * CHOOSE(CONTROL!$C$22, $C$13, 100%, $E$13)</f>
        <v>3.5514000000000001</v>
      </c>
      <c r="E149" s="68">
        <f>4.2052 * CHOOSE(CONTROL!$C$22, $C$13, 100%, $E$13)</f>
        <v>4.2051999999999996</v>
      </c>
      <c r="F149" s="68">
        <f>4.2052 * CHOOSE(CONTROL!$C$22, $C$13, 100%, $E$13)</f>
        <v>4.2051999999999996</v>
      </c>
      <c r="G149" s="68">
        <f>4.21 * CHOOSE(CONTROL!$C$22, $C$13, 100%, $E$13)</f>
        <v>4.21</v>
      </c>
      <c r="H149" s="68">
        <f>6.4954* CHOOSE(CONTROL!$C$22, $C$13, 100%, $E$13)</f>
        <v>6.4954000000000001</v>
      </c>
      <c r="I149" s="68">
        <f>6.5002 * CHOOSE(CONTROL!$C$22, $C$13, 100%, $E$13)</f>
        <v>6.5002000000000004</v>
      </c>
      <c r="J149" s="68">
        <f>4.2052 * CHOOSE(CONTROL!$C$22, $C$13, 100%, $E$13)</f>
        <v>4.2051999999999996</v>
      </c>
      <c r="K149" s="68">
        <f>4.21 * CHOOSE(CONTROL!$C$22, $C$13, 100%, $E$13)</f>
        <v>4.21</v>
      </c>
      <c r="L149" s="4"/>
      <c r="M149" s="4"/>
      <c r="N149" s="4"/>
    </row>
    <row r="150" spans="1:14" ht="15">
      <c r="A150" s="13">
        <v>45689</v>
      </c>
      <c r="B150" s="67">
        <f>3.5445 * CHOOSE(CONTROL!$C$22, $C$13, 100%, $E$13)</f>
        <v>3.5445000000000002</v>
      </c>
      <c r="C150" s="67">
        <f>3.5445 * CHOOSE(CONTROL!$C$22, $C$13, 100%, $E$13)</f>
        <v>3.5445000000000002</v>
      </c>
      <c r="D150" s="67">
        <f>3.5484 * CHOOSE(CONTROL!$C$22, $C$13, 100%, $E$13)</f>
        <v>3.5484</v>
      </c>
      <c r="E150" s="68">
        <f>4.1366 * CHOOSE(CONTROL!$C$22, $C$13, 100%, $E$13)</f>
        <v>4.1365999999999996</v>
      </c>
      <c r="F150" s="68">
        <f>4.1366 * CHOOSE(CONTROL!$C$22, $C$13, 100%, $E$13)</f>
        <v>4.1365999999999996</v>
      </c>
      <c r="G150" s="68">
        <f>4.1413 * CHOOSE(CONTROL!$C$22, $C$13, 100%, $E$13)</f>
        <v>4.1413000000000002</v>
      </c>
      <c r="H150" s="68">
        <f>6.5089* CHOOSE(CONTROL!$C$22, $C$13, 100%, $E$13)</f>
        <v>6.5088999999999997</v>
      </c>
      <c r="I150" s="68">
        <f>6.5137 * CHOOSE(CONTROL!$C$22, $C$13, 100%, $E$13)</f>
        <v>6.5137</v>
      </c>
      <c r="J150" s="68">
        <f>4.1366 * CHOOSE(CONTROL!$C$22, $C$13, 100%, $E$13)</f>
        <v>4.1365999999999996</v>
      </c>
      <c r="K150" s="68">
        <f>4.1413 * CHOOSE(CONTROL!$C$22, $C$13, 100%, $E$13)</f>
        <v>4.1413000000000002</v>
      </c>
      <c r="L150" s="4"/>
      <c r="M150" s="4"/>
      <c r="N150" s="4"/>
    </row>
    <row r="151" spans="1:14" ht="15">
      <c r="A151" s="13">
        <v>45717</v>
      </c>
      <c r="B151" s="67">
        <f>3.5415 * CHOOSE(CONTROL!$C$22, $C$13, 100%, $E$13)</f>
        <v>3.5415000000000001</v>
      </c>
      <c r="C151" s="67">
        <f>3.5415 * CHOOSE(CONTROL!$C$22, $C$13, 100%, $E$13)</f>
        <v>3.5415000000000001</v>
      </c>
      <c r="D151" s="67">
        <f>3.5453 * CHOOSE(CONTROL!$C$22, $C$13, 100%, $E$13)</f>
        <v>3.5453000000000001</v>
      </c>
      <c r="E151" s="68">
        <f>4.1869 * CHOOSE(CONTROL!$C$22, $C$13, 100%, $E$13)</f>
        <v>4.1868999999999996</v>
      </c>
      <c r="F151" s="68">
        <f>4.1869 * CHOOSE(CONTROL!$C$22, $C$13, 100%, $E$13)</f>
        <v>4.1868999999999996</v>
      </c>
      <c r="G151" s="68">
        <f>4.1917 * CHOOSE(CONTROL!$C$22, $C$13, 100%, $E$13)</f>
        <v>4.1917</v>
      </c>
      <c r="H151" s="68">
        <f>6.5225* CHOOSE(CONTROL!$C$22, $C$13, 100%, $E$13)</f>
        <v>6.5225</v>
      </c>
      <c r="I151" s="68">
        <f>6.5273 * CHOOSE(CONTROL!$C$22, $C$13, 100%, $E$13)</f>
        <v>6.5273000000000003</v>
      </c>
      <c r="J151" s="68">
        <f>4.1869 * CHOOSE(CONTROL!$C$22, $C$13, 100%, $E$13)</f>
        <v>4.1868999999999996</v>
      </c>
      <c r="K151" s="68">
        <f>4.1917 * CHOOSE(CONTROL!$C$22, $C$13, 100%, $E$13)</f>
        <v>4.1917</v>
      </c>
      <c r="L151" s="4"/>
      <c r="M151" s="4"/>
      <c r="N151" s="4"/>
    </row>
    <row r="152" spans="1:14" ht="15">
      <c r="A152" s="13">
        <v>45748</v>
      </c>
      <c r="B152" s="67">
        <f>3.5386 * CHOOSE(CONTROL!$C$22, $C$13, 100%, $E$13)</f>
        <v>3.5386000000000002</v>
      </c>
      <c r="C152" s="67">
        <f>3.5386 * CHOOSE(CONTROL!$C$22, $C$13, 100%, $E$13)</f>
        <v>3.5386000000000002</v>
      </c>
      <c r="D152" s="67">
        <f>3.5425 * CHOOSE(CONTROL!$C$22, $C$13, 100%, $E$13)</f>
        <v>3.5425</v>
      </c>
      <c r="E152" s="68">
        <f>4.239 * CHOOSE(CONTROL!$C$22, $C$13, 100%, $E$13)</f>
        <v>4.2389999999999999</v>
      </c>
      <c r="F152" s="68">
        <f>4.239 * CHOOSE(CONTROL!$C$22, $C$13, 100%, $E$13)</f>
        <v>4.2389999999999999</v>
      </c>
      <c r="G152" s="68">
        <f>4.2438 * CHOOSE(CONTROL!$C$22, $C$13, 100%, $E$13)</f>
        <v>4.2438000000000002</v>
      </c>
      <c r="H152" s="68">
        <f>6.5361* CHOOSE(CONTROL!$C$22, $C$13, 100%, $E$13)</f>
        <v>6.5361000000000002</v>
      </c>
      <c r="I152" s="68">
        <f>6.5409 * CHOOSE(CONTROL!$C$22, $C$13, 100%, $E$13)</f>
        <v>6.5408999999999997</v>
      </c>
      <c r="J152" s="68">
        <f>4.239 * CHOOSE(CONTROL!$C$22, $C$13, 100%, $E$13)</f>
        <v>4.2389999999999999</v>
      </c>
      <c r="K152" s="68">
        <f>4.2438 * CHOOSE(CONTROL!$C$22, $C$13, 100%, $E$13)</f>
        <v>4.2438000000000002</v>
      </c>
      <c r="L152" s="4"/>
      <c r="M152" s="4"/>
      <c r="N152" s="4"/>
    </row>
    <row r="153" spans="1:14" ht="15">
      <c r="A153" s="13">
        <v>45778</v>
      </c>
      <c r="B153" s="67">
        <f>3.5386 * CHOOSE(CONTROL!$C$22, $C$13, 100%, $E$13)</f>
        <v>3.5386000000000002</v>
      </c>
      <c r="C153" s="67">
        <f>3.5386 * CHOOSE(CONTROL!$C$22, $C$13, 100%, $E$13)</f>
        <v>3.5386000000000002</v>
      </c>
      <c r="D153" s="67">
        <f>3.5442 * CHOOSE(CONTROL!$C$22, $C$13, 100%, $E$13)</f>
        <v>3.5442</v>
      </c>
      <c r="E153" s="68">
        <f>4.2602 * CHOOSE(CONTROL!$C$22, $C$13, 100%, $E$13)</f>
        <v>4.2602000000000002</v>
      </c>
      <c r="F153" s="68">
        <f>4.2602 * CHOOSE(CONTROL!$C$22, $C$13, 100%, $E$13)</f>
        <v>4.2602000000000002</v>
      </c>
      <c r="G153" s="68">
        <f>4.2669 * CHOOSE(CONTROL!$C$22, $C$13, 100%, $E$13)</f>
        <v>4.2668999999999997</v>
      </c>
      <c r="H153" s="68">
        <f>6.5497* CHOOSE(CONTROL!$C$22, $C$13, 100%, $E$13)</f>
        <v>6.5496999999999996</v>
      </c>
      <c r="I153" s="68">
        <f>6.5564 * CHOOSE(CONTROL!$C$22, $C$13, 100%, $E$13)</f>
        <v>6.5564</v>
      </c>
      <c r="J153" s="68">
        <f>4.2602 * CHOOSE(CONTROL!$C$22, $C$13, 100%, $E$13)</f>
        <v>4.2602000000000002</v>
      </c>
      <c r="K153" s="68">
        <f>4.2669 * CHOOSE(CONTROL!$C$22, $C$13, 100%, $E$13)</f>
        <v>4.2668999999999997</v>
      </c>
      <c r="L153" s="4"/>
      <c r="M153" s="4"/>
      <c r="N153" s="4"/>
    </row>
    <row r="154" spans="1:14" ht="15">
      <c r="A154" s="13">
        <v>45809</v>
      </c>
      <c r="B154" s="67">
        <f>3.5447 * CHOOSE(CONTROL!$C$22, $C$13, 100%, $E$13)</f>
        <v>3.5447000000000002</v>
      </c>
      <c r="C154" s="67">
        <f>3.5447 * CHOOSE(CONTROL!$C$22, $C$13, 100%, $E$13)</f>
        <v>3.5447000000000002</v>
      </c>
      <c r="D154" s="67">
        <f>3.5502 * CHOOSE(CONTROL!$C$22, $C$13, 100%, $E$13)</f>
        <v>3.5501999999999998</v>
      </c>
      <c r="E154" s="68">
        <f>4.2433 * CHOOSE(CONTROL!$C$22, $C$13, 100%, $E$13)</f>
        <v>4.2432999999999996</v>
      </c>
      <c r="F154" s="68">
        <f>4.2433 * CHOOSE(CONTROL!$C$22, $C$13, 100%, $E$13)</f>
        <v>4.2432999999999996</v>
      </c>
      <c r="G154" s="68">
        <f>4.25 * CHOOSE(CONTROL!$C$22, $C$13, 100%, $E$13)</f>
        <v>4.25</v>
      </c>
      <c r="H154" s="68">
        <f>6.5634* CHOOSE(CONTROL!$C$22, $C$13, 100%, $E$13)</f>
        <v>6.5633999999999997</v>
      </c>
      <c r="I154" s="68">
        <f>6.5701 * CHOOSE(CONTROL!$C$22, $C$13, 100%, $E$13)</f>
        <v>6.5701000000000001</v>
      </c>
      <c r="J154" s="68">
        <f>4.2433 * CHOOSE(CONTROL!$C$22, $C$13, 100%, $E$13)</f>
        <v>4.2432999999999996</v>
      </c>
      <c r="K154" s="68">
        <f>4.25 * CHOOSE(CONTROL!$C$22, $C$13, 100%, $E$13)</f>
        <v>4.25</v>
      </c>
      <c r="L154" s="4"/>
      <c r="M154" s="4"/>
      <c r="N154" s="4"/>
    </row>
    <row r="155" spans="1:14" ht="15">
      <c r="A155" s="13">
        <v>45839</v>
      </c>
      <c r="B155" s="67">
        <f>3.5989 * CHOOSE(CONTROL!$C$22, $C$13, 100%, $E$13)</f>
        <v>3.5989</v>
      </c>
      <c r="C155" s="67">
        <f>3.5989 * CHOOSE(CONTROL!$C$22, $C$13, 100%, $E$13)</f>
        <v>3.5989</v>
      </c>
      <c r="D155" s="67">
        <f>3.6044 * CHOOSE(CONTROL!$C$22, $C$13, 100%, $E$13)</f>
        <v>3.6044</v>
      </c>
      <c r="E155" s="68">
        <f>4.3194 * CHOOSE(CONTROL!$C$22, $C$13, 100%, $E$13)</f>
        <v>4.3193999999999999</v>
      </c>
      <c r="F155" s="68">
        <f>4.3194 * CHOOSE(CONTROL!$C$22, $C$13, 100%, $E$13)</f>
        <v>4.3193999999999999</v>
      </c>
      <c r="G155" s="68">
        <f>4.3262 * CHOOSE(CONTROL!$C$22, $C$13, 100%, $E$13)</f>
        <v>4.3262</v>
      </c>
      <c r="H155" s="68">
        <f>6.577* CHOOSE(CONTROL!$C$22, $C$13, 100%, $E$13)</f>
        <v>6.577</v>
      </c>
      <c r="I155" s="68">
        <f>6.5838 * CHOOSE(CONTROL!$C$22, $C$13, 100%, $E$13)</f>
        <v>6.5838000000000001</v>
      </c>
      <c r="J155" s="68">
        <f>4.3194 * CHOOSE(CONTROL!$C$22, $C$13, 100%, $E$13)</f>
        <v>4.3193999999999999</v>
      </c>
      <c r="K155" s="68">
        <f>4.3262 * CHOOSE(CONTROL!$C$22, $C$13, 100%, $E$13)</f>
        <v>4.3262</v>
      </c>
      <c r="L155" s="4"/>
      <c r="M155" s="4"/>
      <c r="N155" s="4"/>
    </row>
    <row r="156" spans="1:14" ht="15">
      <c r="A156" s="13">
        <v>45870</v>
      </c>
      <c r="B156" s="67">
        <f>3.6055 * CHOOSE(CONTROL!$C$22, $C$13, 100%, $E$13)</f>
        <v>3.6055000000000001</v>
      </c>
      <c r="C156" s="67">
        <f>3.6055 * CHOOSE(CONTROL!$C$22, $C$13, 100%, $E$13)</f>
        <v>3.6055000000000001</v>
      </c>
      <c r="D156" s="67">
        <f>3.611 * CHOOSE(CONTROL!$C$22, $C$13, 100%, $E$13)</f>
        <v>3.6110000000000002</v>
      </c>
      <c r="E156" s="68">
        <f>4.2607 * CHOOSE(CONTROL!$C$22, $C$13, 100%, $E$13)</f>
        <v>4.2606999999999999</v>
      </c>
      <c r="F156" s="68">
        <f>4.2607 * CHOOSE(CONTROL!$C$22, $C$13, 100%, $E$13)</f>
        <v>4.2606999999999999</v>
      </c>
      <c r="G156" s="68">
        <f>4.2674 * CHOOSE(CONTROL!$C$22, $C$13, 100%, $E$13)</f>
        <v>4.2674000000000003</v>
      </c>
      <c r="H156" s="68">
        <f>6.5907* CHOOSE(CONTROL!$C$22, $C$13, 100%, $E$13)</f>
        <v>6.5907</v>
      </c>
      <c r="I156" s="68">
        <f>6.5975 * CHOOSE(CONTROL!$C$22, $C$13, 100%, $E$13)</f>
        <v>6.5975000000000001</v>
      </c>
      <c r="J156" s="68">
        <f>4.2607 * CHOOSE(CONTROL!$C$22, $C$13, 100%, $E$13)</f>
        <v>4.2606999999999999</v>
      </c>
      <c r="K156" s="68">
        <f>4.2674 * CHOOSE(CONTROL!$C$22, $C$13, 100%, $E$13)</f>
        <v>4.2674000000000003</v>
      </c>
      <c r="L156" s="4"/>
      <c r="M156" s="4"/>
      <c r="N156" s="4"/>
    </row>
    <row r="157" spans="1:14" ht="15">
      <c r="A157" s="13">
        <v>45901</v>
      </c>
      <c r="B157" s="67">
        <f>3.6025 * CHOOSE(CONTROL!$C$22, $C$13, 100%, $E$13)</f>
        <v>3.6025</v>
      </c>
      <c r="C157" s="67">
        <f>3.6025 * CHOOSE(CONTROL!$C$22, $C$13, 100%, $E$13)</f>
        <v>3.6025</v>
      </c>
      <c r="D157" s="67">
        <f>3.608 * CHOOSE(CONTROL!$C$22, $C$13, 100%, $E$13)</f>
        <v>3.6080000000000001</v>
      </c>
      <c r="E157" s="68">
        <f>4.2515 * CHOOSE(CONTROL!$C$22, $C$13, 100%, $E$13)</f>
        <v>4.2515000000000001</v>
      </c>
      <c r="F157" s="68">
        <f>4.2515 * CHOOSE(CONTROL!$C$22, $C$13, 100%, $E$13)</f>
        <v>4.2515000000000001</v>
      </c>
      <c r="G157" s="68">
        <f>4.2583 * CHOOSE(CONTROL!$C$22, $C$13, 100%, $E$13)</f>
        <v>4.2583000000000002</v>
      </c>
      <c r="H157" s="68">
        <f>6.6045* CHOOSE(CONTROL!$C$22, $C$13, 100%, $E$13)</f>
        <v>6.6044999999999998</v>
      </c>
      <c r="I157" s="68">
        <f>6.6112 * CHOOSE(CONTROL!$C$22, $C$13, 100%, $E$13)</f>
        <v>6.6112000000000002</v>
      </c>
      <c r="J157" s="68">
        <f>4.2515 * CHOOSE(CONTROL!$C$22, $C$13, 100%, $E$13)</f>
        <v>4.2515000000000001</v>
      </c>
      <c r="K157" s="68">
        <f>4.2583 * CHOOSE(CONTROL!$C$22, $C$13, 100%, $E$13)</f>
        <v>4.2583000000000002</v>
      </c>
      <c r="L157" s="4"/>
      <c r="M157" s="4"/>
      <c r="N157" s="4"/>
    </row>
    <row r="158" spans="1:14" ht="15">
      <c r="A158" s="13">
        <v>45931</v>
      </c>
      <c r="B158" s="67">
        <f>3.596 * CHOOSE(CONTROL!$C$22, $C$13, 100%, $E$13)</f>
        <v>3.5960000000000001</v>
      </c>
      <c r="C158" s="67">
        <f>3.596 * CHOOSE(CONTROL!$C$22, $C$13, 100%, $E$13)</f>
        <v>3.5960000000000001</v>
      </c>
      <c r="D158" s="67">
        <f>3.5998 * CHOOSE(CONTROL!$C$22, $C$13, 100%, $E$13)</f>
        <v>3.5998000000000001</v>
      </c>
      <c r="E158" s="68">
        <f>4.2663 * CHOOSE(CONTROL!$C$22, $C$13, 100%, $E$13)</f>
        <v>4.2663000000000002</v>
      </c>
      <c r="F158" s="68">
        <f>4.2663 * CHOOSE(CONTROL!$C$22, $C$13, 100%, $E$13)</f>
        <v>4.2663000000000002</v>
      </c>
      <c r="G158" s="68">
        <f>4.2711 * CHOOSE(CONTROL!$C$22, $C$13, 100%, $E$13)</f>
        <v>4.2710999999999997</v>
      </c>
      <c r="H158" s="68">
        <f>6.6182* CHOOSE(CONTROL!$C$22, $C$13, 100%, $E$13)</f>
        <v>6.6181999999999999</v>
      </c>
      <c r="I158" s="68">
        <f>6.623 * CHOOSE(CONTROL!$C$22, $C$13, 100%, $E$13)</f>
        <v>6.6230000000000002</v>
      </c>
      <c r="J158" s="68">
        <f>4.2663 * CHOOSE(CONTROL!$C$22, $C$13, 100%, $E$13)</f>
        <v>4.2663000000000002</v>
      </c>
      <c r="K158" s="68">
        <f>4.2711 * CHOOSE(CONTROL!$C$22, $C$13, 100%, $E$13)</f>
        <v>4.2710999999999997</v>
      </c>
      <c r="L158" s="4"/>
      <c r="M158" s="4"/>
      <c r="N158" s="4"/>
    </row>
    <row r="159" spans="1:14" ht="15">
      <c r="A159" s="13">
        <v>45962</v>
      </c>
      <c r="B159" s="67">
        <f>3.599 * CHOOSE(CONTROL!$C$22, $C$13, 100%, $E$13)</f>
        <v>3.5990000000000002</v>
      </c>
      <c r="C159" s="67">
        <f>3.599 * CHOOSE(CONTROL!$C$22, $C$13, 100%, $E$13)</f>
        <v>3.5990000000000002</v>
      </c>
      <c r="D159" s="67">
        <f>3.6029 * CHOOSE(CONTROL!$C$22, $C$13, 100%, $E$13)</f>
        <v>3.6029</v>
      </c>
      <c r="E159" s="68">
        <f>4.2825 * CHOOSE(CONTROL!$C$22, $C$13, 100%, $E$13)</f>
        <v>4.2824999999999998</v>
      </c>
      <c r="F159" s="68">
        <f>4.2825 * CHOOSE(CONTROL!$C$22, $C$13, 100%, $E$13)</f>
        <v>4.2824999999999998</v>
      </c>
      <c r="G159" s="68">
        <f>4.2873 * CHOOSE(CONTROL!$C$22, $C$13, 100%, $E$13)</f>
        <v>4.2873000000000001</v>
      </c>
      <c r="H159" s="68">
        <f>6.632* CHOOSE(CONTROL!$C$22, $C$13, 100%, $E$13)</f>
        <v>6.6319999999999997</v>
      </c>
      <c r="I159" s="68">
        <f>6.6368 * CHOOSE(CONTROL!$C$22, $C$13, 100%, $E$13)</f>
        <v>6.6368</v>
      </c>
      <c r="J159" s="68">
        <f>4.2825 * CHOOSE(CONTROL!$C$22, $C$13, 100%, $E$13)</f>
        <v>4.2824999999999998</v>
      </c>
      <c r="K159" s="68">
        <f>4.2873 * CHOOSE(CONTROL!$C$22, $C$13, 100%, $E$13)</f>
        <v>4.2873000000000001</v>
      </c>
    </row>
    <row r="160" spans="1:14" ht="15">
      <c r="A160" s="13">
        <v>45992</v>
      </c>
      <c r="B160" s="67">
        <f>3.599 * CHOOSE(CONTROL!$C$22, $C$13, 100%, $E$13)</f>
        <v>3.5990000000000002</v>
      </c>
      <c r="C160" s="67">
        <f>3.599 * CHOOSE(CONTROL!$C$22, $C$13, 100%, $E$13)</f>
        <v>3.5990000000000002</v>
      </c>
      <c r="D160" s="67">
        <f>3.6029 * CHOOSE(CONTROL!$C$22, $C$13, 100%, $E$13)</f>
        <v>3.6029</v>
      </c>
      <c r="E160" s="68">
        <f>4.2473 * CHOOSE(CONTROL!$C$22, $C$13, 100%, $E$13)</f>
        <v>4.2473000000000001</v>
      </c>
      <c r="F160" s="68">
        <f>4.2473 * CHOOSE(CONTROL!$C$22, $C$13, 100%, $E$13)</f>
        <v>4.2473000000000001</v>
      </c>
      <c r="G160" s="68">
        <f>4.252 * CHOOSE(CONTROL!$C$22, $C$13, 100%, $E$13)</f>
        <v>4.2519999999999998</v>
      </c>
      <c r="H160" s="68">
        <f>6.6458* CHOOSE(CONTROL!$C$22, $C$13, 100%, $E$13)</f>
        <v>6.6458000000000004</v>
      </c>
      <c r="I160" s="68">
        <f>6.6506 * CHOOSE(CONTROL!$C$22, $C$13, 100%, $E$13)</f>
        <v>6.6505999999999998</v>
      </c>
      <c r="J160" s="68">
        <f>4.2473 * CHOOSE(CONTROL!$C$22, $C$13, 100%, $E$13)</f>
        <v>4.2473000000000001</v>
      </c>
      <c r="K160" s="68">
        <f>4.252 * CHOOSE(CONTROL!$C$22, $C$13, 100%, $E$13)</f>
        <v>4.2519999999999998</v>
      </c>
    </row>
    <row r="161" spans="1:11" ht="15">
      <c r="A161" s="13">
        <v>46023</v>
      </c>
      <c r="B161" s="67">
        <f>3.6288 * CHOOSE(CONTROL!$C$22, $C$13, 100%, $E$13)</f>
        <v>3.6288</v>
      </c>
      <c r="C161" s="67">
        <f>3.6288 * CHOOSE(CONTROL!$C$22, $C$13, 100%, $E$13)</f>
        <v>3.6288</v>
      </c>
      <c r="D161" s="67">
        <f>3.6327 * CHOOSE(CONTROL!$C$22, $C$13, 100%, $E$13)</f>
        <v>3.6326999999999998</v>
      </c>
      <c r="E161" s="68">
        <f>4.3063 * CHOOSE(CONTROL!$C$22, $C$13, 100%, $E$13)</f>
        <v>4.3063000000000002</v>
      </c>
      <c r="F161" s="68">
        <f>4.3063 * CHOOSE(CONTROL!$C$22, $C$13, 100%, $E$13)</f>
        <v>4.3063000000000002</v>
      </c>
      <c r="G161" s="68">
        <f>4.3111 * CHOOSE(CONTROL!$C$22, $C$13, 100%, $E$13)</f>
        <v>4.3110999999999997</v>
      </c>
      <c r="H161" s="68">
        <f>6.6597* CHOOSE(CONTROL!$C$22, $C$13, 100%, $E$13)</f>
        <v>6.6597</v>
      </c>
      <c r="I161" s="68">
        <f>6.6644 * CHOOSE(CONTROL!$C$22, $C$13, 100%, $E$13)</f>
        <v>6.6643999999999997</v>
      </c>
      <c r="J161" s="68">
        <f>4.3063 * CHOOSE(CONTROL!$C$22, $C$13, 100%, $E$13)</f>
        <v>4.3063000000000002</v>
      </c>
      <c r="K161" s="68">
        <f>4.3111 * CHOOSE(CONTROL!$C$22, $C$13, 100%, $E$13)</f>
        <v>4.3110999999999997</v>
      </c>
    </row>
    <row r="162" spans="1:11" ht="15">
      <c r="A162" s="13">
        <v>46054</v>
      </c>
      <c r="B162" s="67">
        <f>3.6257 * CHOOSE(CONTROL!$C$22, $C$13, 100%, $E$13)</f>
        <v>3.6257000000000001</v>
      </c>
      <c r="C162" s="67">
        <f>3.6257 * CHOOSE(CONTROL!$C$22, $C$13, 100%, $E$13)</f>
        <v>3.6257000000000001</v>
      </c>
      <c r="D162" s="67">
        <f>3.6296 * CHOOSE(CONTROL!$C$22, $C$13, 100%, $E$13)</f>
        <v>3.6295999999999999</v>
      </c>
      <c r="E162" s="68">
        <f>4.236 * CHOOSE(CONTROL!$C$22, $C$13, 100%, $E$13)</f>
        <v>4.2359999999999998</v>
      </c>
      <c r="F162" s="68">
        <f>4.236 * CHOOSE(CONTROL!$C$22, $C$13, 100%, $E$13)</f>
        <v>4.2359999999999998</v>
      </c>
      <c r="G162" s="68">
        <f>4.2407 * CHOOSE(CONTROL!$C$22, $C$13, 100%, $E$13)</f>
        <v>4.2407000000000004</v>
      </c>
      <c r="H162" s="68">
        <f>6.6735* CHOOSE(CONTROL!$C$22, $C$13, 100%, $E$13)</f>
        <v>6.6734999999999998</v>
      </c>
      <c r="I162" s="68">
        <f>6.6783 * CHOOSE(CONTROL!$C$22, $C$13, 100%, $E$13)</f>
        <v>6.6783000000000001</v>
      </c>
      <c r="J162" s="68">
        <f>4.236 * CHOOSE(CONTROL!$C$22, $C$13, 100%, $E$13)</f>
        <v>4.2359999999999998</v>
      </c>
      <c r="K162" s="68">
        <f>4.2407 * CHOOSE(CONTROL!$C$22, $C$13, 100%, $E$13)</f>
        <v>4.2407000000000004</v>
      </c>
    </row>
    <row r="163" spans="1:11" ht="15">
      <c r="A163" s="13">
        <v>46082</v>
      </c>
      <c r="B163" s="67">
        <f>3.6227 * CHOOSE(CONTROL!$C$22, $C$13, 100%, $E$13)</f>
        <v>3.6227</v>
      </c>
      <c r="C163" s="67">
        <f>3.6227 * CHOOSE(CONTROL!$C$22, $C$13, 100%, $E$13)</f>
        <v>3.6227</v>
      </c>
      <c r="D163" s="67">
        <f>3.6266 * CHOOSE(CONTROL!$C$22, $C$13, 100%, $E$13)</f>
        <v>3.6265999999999998</v>
      </c>
      <c r="E163" s="68">
        <f>4.2876 * CHOOSE(CONTROL!$C$22, $C$13, 100%, $E$13)</f>
        <v>4.2876000000000003</v>
      </c>
      <c r="F163" s="68">
        <f>4.2876 * CHOOSE(CONTROL!$C$22, $C$13, 100%, $E$13)</f>
        <v>4.2876000000000003</v>
      </c>
      <c r="G163" s="68">
        <f>4.2924 * CHOOSE(CONTROL!$C$22, $C$13, 100%, $E$13)</f>
        <v>4.2923999999999998</v>
      </c>
      <c r="H163" s="68">
        <f>6.6874* CHOOSE(CONTROL!$C$22, $C$13, 100%, $E$13)</f>
        <v>6.6874000000000002</v>
      </c>
      <c r="I163" s="68">
        <f>6.6922 * CHOOSE(CONTROL!$C$22, $C$13, 100%, $E$13)</f>
        <v>6.6921999999999997</v>
      </c>
      <c r="J163" s="68">
        <f>4.2876 * CHOOSE(CONTROL!$C$22, $C$13, 100%, $E$13)</f>
        <v>4.2876000000000003</v>
      </c>
      <c r="K163" s="68">
        <f>4.2924 * CHOOSE(CONTROL!$C$22, $C$13, 100%, $E$13)</f>
        <v>4.2923999999999998</v>
      </c>
    </row>
    <row r="164" spans="1:11" ht="15">
      <c r="A164" s="13">
        <v>46113</v>
      </c>
      <c r="B164" s="67">
        <f>3.62 * CHOOSE(CONTROL!$C$22, $C$13, 100%, $E$13)</f>
        <v>3.62</v>
      </c>
      <c r="C164" s="67">
        <f>3.62 * CHOOSE(CONTROL!$C$22, $C$13, 100%, $E$13)</f>
        <v>3.62</v>
      </c>
      <c r="D164" s="67">
        <f>3.6238 * CHOOSE(CONTROL!$C$22, $C$13, 100%, $E$13)</f>
        <v>3.6238000000000001</v>
      </c>
      <c r="E164" s="68">
        <f>4.3412 * CHOOSE(CONTROL!$C$22, $C$13, 100%, $E$13)</f>
        <v>4.3411999999999997</v>
      </c>
      <c r="F164" s="68">
        <f>4.3412 * CHOOSE(CONTROL!$C$22, $C$13, 100%, $E$13)</f>
        <v>4.3411999999999997</v>
      </c>
      <c r="G164" s="68">
        <f>4.3459 * CHOOSE(CONTROL!$C$22, $C$13, 100%, $E$13)</f>
        <v>4.3459000000000003</v>
      </c>
      <c r="H164" s="68">
        <f>6.7014* CHOOSE(CONTROL!$C$22, $C$13, 100%, $E$13)</f>
        <v>6.7013999999999996</v>
      </c>
      <c r="I164" s="68">
        <f>6.7061 * CHOOSE(CONTROL!$C$22, $C$13, 100%, $E$13)</f>
        <v>6.7061000000000002</v>
      </c>
      <c r="J164" s="68">
        <f>4.3412 * CHOOSE(CONTROL!$C$22, $C$13, 100%, $E$13)</f>
        <v>4.3411999999999997</v>
      </c>
      <c r="K164" s="68">
        <f>4.3459 * CHOOSE(CONTROL!$C$22, $C$13, 100%, $E$13)</f>
        <v>4.3459000000000003</v>
      </c>
    </row>
    <row r="165" spans="1:11" ht="15">
      <c r="A165" s="13">
        <v>46143</v>
      </c>
      <c r="B165" s="67">
        <f>3.62 * CHOOSE(CONTROL!$C$22, $C$13, 100%, $E$13)</f>
        <v>3.62</v>
      </c>
      <c r="C165" s="67">
        <f>3.62 * CHOOSE(CONTROL!$C$22, $C$13, 100%, $E$13)</f>
        <v>3.62</v>
      </c>
      <c r="D165" s="67">
        <f>3.6255 * CHOOSE(CONTROL!$C$22, $C$13, 100%, $E$13)</f>
        <v>3.6255000000000002</v>
      </c>
      <c r="E165" s="68">
        <f>4.3628 * CHOOSE(CONTROL!$C$22, $C$13, 100%, $E$13)</f>
        <v>4.3628</v>
      </c>
      <c r="F165" s="68">
        <f>4.3628 * CHOOSE(CONTROL!$C$22, $C$13, 100%, $E$13)</f>
        <v>4.3628</v>
      </c>
      <c r="G165" s="68">
        <f>4.3696 * CHOOSE(CONTROL!$C$22, $C$13, 100%, $E$13)</f>
        <v>4.3696000000000002</v>
      </c>
      <c r="H165" s="68">
        <f>6.7153* CHOOSE(CONTROL!$C$22, $C$13, 100%, $E$13)</f>
        <v>6.7153</v>
      </c>
      <c r="I165" s="68">
        <f>6.7221 * CHOOSE(CONTROL!$C$22, $C$13, 100%, $E$13)</f>
        <v>6.7221000000000002</v>
      </c>
      <c r="J165" s="68">
        <f>4.3628 * CHOOSE(CONTROL!$C$22, $C$13, 100%, $E$13)</f>
        <v>4.3628</v>
      </c>
      <c r="K165" s="68">
        <f>4.3696 * CHOOSE(CONTROL!$C$22, $C$13, 100%, $E$13)</f>
        <v>4.3696000000000002</v>
      </c>
    </row>
    <row r="166" spans="1:11" ht="15">
      <c r="A166" s="13">
        <v>46174</v>
      </c>
      <c r="B166" s="67">
        <f>3.626 * CHOOSE(CONTROL!$C$22, $C$13, 100%, $E$13)</f>
        <v>3.6259999999999999</v>
      </c>
      <c r="C166" s="67">
        <f>3.626 * CHOOSE(CONTROL!$C$22, $C$13, 100%, $E$13)</f>
        <v>3.6259999999999999</v>
      </c>
      <c r="D166" s="67">
        <f>3.6315 * CHOOSE(CONTROL!$C$22, $C$13, 100%, $E$13)</f>
        <v>3.6315</v>
      </c>
      <c r="E166" s="68">
        <f>4.3454 * CHOOSE(CONTROL!$C$22, $C$13, 100%, $E$13)</f>
        <v>4.3453999999999997</v>
      </c>
      <c r="F166" s="68">
        <f>4.3454 * CHOOSE(CONTROL!$C$22, $C$13, 100%, $E$13)</f>
        <v>4.3453999999999997</v>
      </c>
      <c r="G166" s="68">
        <f>4.3521 * CHOOSE(CONTROL!$C$22, $C$13, 100%, $E$13)</f>
        <v>4.3521000000000001</v>
      </c>
      <c r="H166" s="68">
        <f>6.7293* CHOOSE(CONTROL!$C$22, $C$13, 100%, $E$13)</f>
        <v>6.7293000000000003</v>
      </c>
      <c r="I166" s="68">
        <f>6.7361 * CHOOSE(CONTROL!$C$22, $C$13, 100%, $E$13)</f>
        <v>6.7361000000000004</v>
      </c>
      <c r="J166" s="68">
        <f>4.3454 * CHOOSE(CONTROL!$C$22, $C$13, 100%, $E$13)</f>
        <v>4.3453999999999997</v>
      </c>
      <c r="K166" s="68">
        <f>4.3521 * CHOOSE(CONTROL!$C$22, $C$13, 100%, $E$13)</f>
        <v>4.3521000000000001</v>
      </c>
    </row>
    <row r="167" spans="1:11" ht="15">
      <c r="A167" s="13">
        <v>46204</v>
      </c>
      <c r="B167" s="67">
        <f>3.6807 * CHOOSE(CONTROL!$C$22, $C$13, 100%, $E$13)</f>
        <v>3.6806999999999999</v>
      </c>
      <c r="C167" s="67">
        <f>3.6807 * CHOOSE(CONTROL!$C$22, $C$13, 100%, $E$13)</f>
        <v>3.6806999999999999</v>
      </c>
      <c r="D167" s="67">
        <f>3.6862 * CHOOSE(CONTROL!$C$22, $C$13, 100%, $E$13)</f>
        <v>3.6861999999999999</v>
      </c>
      <c r="E167" s="68">
        <f>4.4213 * CHOOSE(CONTROL!$C$22, $C$13, 100%, $E$13)</f>
        <v>4.4212999999999996</v>
      </c>
      <c r="F167" s="68">
        <f>4.4213 * CHOOSE(CONTROL!$C$22, $C$13, 100%, $E$13)</f>
        <v>4.4212999999999996</v>
      </c>
      <c r="G167" s="68">
        <f>4.428 * CHOOSE(CONTROL!$C$22, $C$13, 100%, $E$13)</f>
        <v>4.4279999999999999</v>
      </c>
      <c r="H167" s="68">
        <f>6.7434* CHOOSE(CONTROL!$C$22, $C$13, 100%, $E$13)</f>
        <v>6.7434000000000003</v>
      </c>
      <c r="I167" s="68">
        <f>6.7501 * CHOOSE(CONTROL!$C$22, $C$13, 100%, $E$13)</f>
        <v>6.7500999999999998</v>
      </c>
      <c r="J167" s="68">
        <f>4.4213 * CHOOSE(CONTROL!$C$22, $C$13, 100%, $E$13)</f>
        <v>4.4212999999999996</v>
      </c>
      <c r="K167" s="68">
        <f>4.428 * CHOOSE(CONTROL!$C$22, $C$13, 100%, $E$13)</f>
        <v>4.4279999999999999</v>
      </c>
    </row>
    <row r="168" spans="1:11" ht="15">
      <c r="A168" s="13">
        <v>46235</v>
      </c>
      <c r="B168" s="67">
        <f>3.6874 * CHOOSE(CONTROL!$C$22, $C$13, 100%, $E$13)</f>
        <v>3.6873999999999998</v>
      </c>
      <c r="C168" s="67">
        <f>3.6874 * CHOOSE(CONTROL!$C$22, $C$13, 100%, $E$13)</f>
        <v>3.6873999999999998</v>
      </c>
      <c r="D168" s="67">
        <f>3.6929 * CHOOSE(CONTROL!$C$22, $C$13, 100%, $E$13)</f>
        <v>3.6928999999999998</v>
      </c>
      <c r="E168" s="68">
        <f>4.3609 * CHOOSE(CONTROL!$C$22, $C$13, 100%, $E$13)</f>
        <v>4.3609</v>
      </c>
      <c r="F168" s="68">
        <f>4.3609 * CHOOSE(CONTROL!$C$22, $C$13, 100%, $E$13)</f>
        <v>4.3609</v>
      </c>
      <c r="G168" s="68">
        <f>4.3677 * CHOOSE(CONTROL!$C$22, $C$13, 100%, $E$13)</f>
        <v>4.3677000000000001</v>
      </c>
      <c r="H168" s="68">
        <f>6.7574* CHOOSE(CONTROL!$C$22, $C$13, 100%, $E$13)</f>
        <v>6.7573999999999996</v>
      </c>
      <c r="I168" s="68">
        <f>6.7641 * CHOOSE(CONTROL!$C$22, $C$13, 100%, $E$13)</f>
        <v>6.7641</v>
      </c>
      <c r="J168" s="68">
        <f>4.3609 * CHOOSE(CONTROL!$C$22, $C$13, 100%, $E$13)</f>
        <v>4.3609</v>
      </c>
      <c r="K168" s="68">
        <f>4.3677 * CHOOSE(CONTROL!$C$22, $C$13, 100%, $E$13)</f>
        <v>4.3677000000000001</v>
      </c>
    </row>
    <row r="169" spans="1:11" ht="15">
      <c r="A169" s="13">
        <v>46266</v>
      </c>
      <c r="B169" s="67">
        <f>3.6843 * CHOOSE(CONTROL!$C$22, $C$13, 100%, $E$13)</f>
        <v>3.6842999999999999</v>
      </c>
      <c r="C169" s="67">
        <f>3.6843 * CHOOSE(CONTROL!$C$22, $C$13, 100%, $E$13)</f>
        <v>3.6842999999999999</v>
      </c>
      <c r="D169" s="67">
        <f>3.6898 * CHOOSE(CONTROL!$C$22, $C$13, 100%, $E$13)</f>
        <v>3.6898</v>
      </c>
      <c r="E169" s="68">
        <f>4.3516 * CHOOSE(CONTROL!$C$22, $C$13, 100%, $E$13)</f>
        <v>4.3516000000000004</v>
      </c>
      <c r="F169" s="68">
        <f>4.3516 * CHOOSE(CONTROL!$C$22, $C$13, 100%, $E$13)</f>
        <v>4.3516000000000004</v>
      </c>
      <c r="G169" s="68">
        <f>4.3583 * CHOOSE(CONTROL!$C$22, $C$13, 100%, $E$13)</f>
        <v>4.3582999999999998</v>
      </c>
      <c r="H169" s="68">
        <f>6.7715* CHOOSE(CONTROL!$C$22, $C$13, 100%, $E$13)</f>
        <v>6.7714999999999996</v>
      </c>
      <c r="I169" s="68">
        <f>6.7782 * CHOOSE(CONTROL!$C$22, $C$13, 100%, $E$13)</f>
        <v>6.7782</v>
      </c>
      <c r="J169" s="68">
        <f>4.3516 * CHOOSE(CONTROL!$C$22, $C$13, 100%, $E$13)</f>
        <v>4.3516000000000004</v>
      </c>
      <c r="K169" s="68">
        <f>4.3583 * CHOOSE(CONTROL!$C$22, $C$13, 100%, $E$13)</f>
        <v>4.3582999999999998</v>
      </c>
    </row>
    <row r="170" spans="1:11" ht="15">
      <c r="A170" s="13">
        <v>46296</v>
      </c>
      <c r="B170" s="67">
        <f>3.6781 * CHOOSE(CONTROL!$C$22, $C$13, 100%, $E$13)</f>
        <v>3.6781000000000001</v>
      </c>
      <c r="C170" s="67">
        <f>3.6781 * CHOOSE(CONTROL!$C$22, $C$13, 100%, $E$13)</f>
        <v>3.6781000000000001</v>
      </c>
      <c r="D170" s="67">
        <f>3.682 * CHOOSE(CONTROL!$C$22, $C$13, 100%, $E$13)</f>
        <v>3.6819999999999999</v>
      </c>
      <c r="E170" s="68">
        <f>4.3671 * CHOOSE(CONTROL!$C$22, $C$13, 100%, $E$13)</f>
        <v>4.3670999999999998</v>
      </c>
      <c r="F170" s="68">
        <f>4.3671 * CHOOSE(CONTROL!$C$22, $C$13, 100%, $E$13)</f>
        <v>4.3670999999999998</v>
      </c>
      <c r="G170" s="68">
        <f>4.3718 * CHOOSE(CONTROL!$C$22, $C$13, 100%, $E$13)</f>
        <v>4.3718000000000004</v>
      </c>
      <c r="H170" s="68">
        <f>6.7856* CHOOSE(CONTROL!$C$22, $C$13, 100%, $E$13)</f>
        <v>6.7855999999999996</v>
      </c>
      <c r="I170" s="68">
        <f>6.7904 * CHOOSE(CONTROL!$C$22, $C$13, 100%, $E$13)</f>
        <v>6.7904</v>
      </c>
      <c r="J170" s="68">
        <f>4.3671 * CHOOSE(CONTROL!$C$22, $C$13, 100%, $E$13)</f>
        <v>4.3670999999999998</v>
      </c>
      <c r="K170" s="68">
        <f>4.3718 * CHOOSE(CONTROL!$C$22, $C$13, 100%, $E$13)</f>
        <v>4.3718000000000004</v>
      </c>
    </row>
    <row r="171" spans="1:11" ht="15">
      <c r="A171" s="13">
        <v>46327</v>
      </c>
      <c r="B171" s="67">
        <f>3.6811 * CHOOSE(CONTROL!$C$22, $C$13, 100%, $E$13)</f>
        <v>3.6810999999999998</v>
      </c>
      <c r="C171" s="67">
        <f>3.6811 * CHOOSE(CONTROL!$C$22, $C$13, 100%, $E$13)</f>
        <v>3.6810999999999998</v>
      </c>
      <c r="D171" s="67">
        <f>3.685 * CHOOSE(CONTROL!$C$22, $C$13, 100%, $E$13)</f>
        <v>3.6850000000000001</v>
      </c>
      <c r="E171" s="68">
        <f>4.3836 * CHOOSE(CONTROL!$C$22, $C$13, 100%, $E$13)</f>
        <v>4.3836000000000004</v>
      </c>
      <c r="F171" s="68">
        <f>4.3836 * CHOOSE(CONTROL!$C$22, $C$13, 100%, $E$13)</f>
        <v>4.3836000000000004</v>
      </c>
      <c r="G171" s="68">
        <f>4.3884 * CHOOSE(CONTROL!$C$22, $C$13, 100%, $E$13)</f>
        <v>4.3883999999999999</v>
      </c>
      <c r="H171" s="68">
        <f>6.7997* CHOOSE(CONTROL!$C$22, $C$13, 100%, $E$13)</f>
        <v>6.7996999999999996</v>
      </c>
      <c r="I171" s="68">
        <f>6.8045 * CHOOSE(CONTROL!$C$22, $C$13, 100%, $E$13)</f>
        <v>6.8045</v>
      </c>
      <c r="J171" s="68">
        <f>4.3836 * CHOOSE(CONTROL!$C$22, $C$13, 100%, $E$13)</f>
        <v>4.3836000000000004</v>
      </c>
      <c r="K171" s="68">
        <f>4.3884 * CHOOSE(CONTROL!$C$22, $C$13, 100%, $E$13)</f>
        <v>4.3883999999999999</v>
      </c>
    </row>
    <row r="172" spans="1:11" ht="15">
      <c r="A172" s="13">
        <v>46357</v>
      </c>
      <c r="B172" s="67">
        <f>3.6811 * CHOOSE(CONTROL!$C$22, $C$13, 100%, $E$13)</f>
        <v>3.6810999999999998</v>
      </c>
      <c r="C172" s="67">
        <f>3.6811 * CHOOSE(CONTROL!$C$22, $C$13, 100%, $E$13)</f>
        <v>3.6810999999999998</v>
      </c>
      <c r="D172" s="67">
        <f>3.685 * CHOOSE(CONTROL!$C$22, $C$13, 100%, $E$13)</f>
        <v>3.6850000000000001</v>
      </c>
      <c r="E172" s="68">
        <f>4.3475 * CHOOSE(CONTROL!$C$22, $C$13, 100%, $E$13)</f>
        <v>4.3475000000000001</v>
      </c>
      <c r="F172" s="68">
        <f>4.3475 * CHOOSE(CONTROL!$C$22, $C$13, 100%, $E$13)</f>
        <v>4.3475000000000001</v>
      </c>
      <c r="G172" s="68">
        <f>4.3523 * CHOOSE(CONTROL!$C$22, $C$13, 100%, $E$13)</f>
        <v>4.3522999999999996</v>
      </c>
      <c r="H172" s="68">
        <f>6.8139* CHOOSE(CONTROL!$C$22, $C$13, 100%, $E$13)</f>
        <v>6.8139000000000003</v>
      </c>
      <c r="I172" s="68">
        <f>6.8187 * CHOOSE(CONTROL!$C$22, $C$13, 100%, $E$13)</f>
        <v>6.8186999999999998</v>
      </c>
      <c r="J172" s="68">
        <f>4.3475 * CHOOSE(CONTROL!$C$22, $C$13, 100%, $E$13)</f>
        <v>4.3475000000000001</v>
      </c>
      <c r="K172" s="68">
        <f>4.3523 * CHOOSE(CONTROL!$C$22, $C$13, 100%, $E$13)</f>
        <v>4.3522999999999996</v>
      </c>
    </row>
    <row r="173" spans="1:11" ht="15">
      <c r="A173" s="13">
        <v>46388</v>
      </c>
      <c r="B173" s="67">
        <f>3.7098 * CHOOSE(CONTROL!$C$22, $C$13, 100%, $E$13)</f>
        <v>3.7098</v>
      </c>
      <c r="C173" s="67">
        <f>3.7098 * CHOOSE(CONTROL!$C$22, $C$13, 100%, $E$13)</f>
        <v>3.7098</v>
      </c>
      <c r="D173" s="67">
        <f>3.7136 * CHOOSE(CONTROL!$C$22, $C$13, 100%, $E$13)</f>
        <v>3.7136</v>
      </c>
      <c r="E173" s="68">
        <f>4.4079 * CHOOSE(CONTROL!$C$22, $C$13, 100%, $E$13)</f>
        <v>4.4078999999999997</v>
      </c>
      <c r="F173" s="68">
        <f>4.4079 * CHOOSE(CONTROL!$C$22, $C$13, 100%, $E$13)</f>
        <v>4.4078999999999997</v>
      </c>
      <c r="G173" s="68">
        <f>4.4127 * CHOOSE(CONTROL!$C$22, $C$13, 100%, $E$13)</f>
        <v>4.4127000000000001</v>
      </c>
      <c r="H173" s="68">
        <f>6.8281* CHOOSE(CONTROL!$C$22, $C$13, 100%, $E$13)</f>
        <v>6.8281000000000001</v>
      </c>
      <c r="I173" s="68">
        <f>6.8329 * CHOOSE(CONTROL!$C$22, $C$13, 100%, $E$13)</f>
        <v>6.8329000000000004</v>
      </c>
      <c r="J173" s="68">
        <f>4.4079 * CHOOSE(CONTROL!$C$22, $C$13, 100%, $E$13)</f>
        <v>4.4078999999999997</v>
      </c>
      <c r="K173" s="68">
        <f>4.4127 * CHOOSE(CONTROL!$C$22, $C$13, 100%, $E$13)</f>
        <v>4.4127000000000001</v>
      </c>
    </row>
    <row r="174" spans="1:11" ht="15">
      <c r="A174" s="13">
        <v>46419</v>
      </c>
      <c r="B174" s="67">
        <f>3.7067 * CHOOSE(CONTROL!$C$22, $C$13, 100%, $E$13)</f>
        <v>3.7067000000000001</v>
      </c>
      <c r="C174" s="67">
        <f>3.7067 * CHOOSE(CONTROL!$C$22, $C$13, 100%, $E$13)</f>
        <v>3.7067000000000001</v>
      </c>
      <c r="D174" s="67">
        <f>3.7106 * CHOOSE(CONTROL!$C$22, $C$13, 100%, $E$13)</f>
        <v>3.7105999999999999</v>
      </c>
      <c r="E174" s="68">
        <f>4.3359 * CHOOSE(CONTROL!$C$22, $C$13, 100%, $E$13)</f>
        <v>4.3358999999999996</v>
      </c>
      <c r="F174" s="68">
        <f>4.3359 * CHOOSE(CONTROL!$C$22, $C$13, 100%, $E$13)</f>
        <v>4.3358999999999996</v>
      </c>
      <c r="G174" s="68">
        <f>4.3406 * CHOOSE(CONTROL!$C$22, $C$13, 100%, $E$13)</f>
        <v>4.3406000000000002</v>
      </c>
      <c r="H174" s="68">
        <f>6.8423* CHOOSE(CONTROL!$C$22, $C$13, 100%, $E$13)</f>
        <v>6.8422999999999998</v>
      </c>
      <c r="I174" s="68">
        <f>6.8471 * CHOOSE(CONTROL!$C$22, $C$13, 100%, $E$13)</f>
        <v>6.8471000000000002</v>
      </c>
      <c r="J174" s="68">
        <f>4.3359 * CHOOSE(CONTROL!$C$22, $C$13, 100%, $E$13)</f>
        <v>4.3358999999999996</v>
      </c>
      <c r="K174" s="68">
        <f>4.3406 * CHOOSE(CONTROL!$C$22, $C$13, 100%, $E$13)</f>
        <v>4.3406000000000002</v>
      </c>
    </row>
    <row r="175" spans="1:11" ht="15">
      <c r="A175" s="13">
        <v>46447</v>
      </c>
      <c r="B175" s="67">
        <f>3.7037 * CHOOSE(CONTROL!$C$22, $C$13, 100%, $E$13)</f>
        <v>3.7037</v>
      </c>
      <c r="C175" s="67">
        <f>3.7037 * CHOOSE(CONTROL!$C$22, $C$13, 100%, $E$13)</f>
        <v>3.7037</v>
      </c>
      <c r="D175" s="67">
        <f>3.7076 * CHOOSE(CONTROL!$C$22, $C$13, 100%, $E$13)</f>
        <v>3.7075999999999998</v>
      </c>
      <c r="E175" s="68">
        <f>4.3889 * CHOOSE(CONTROL!$C$22, $C$13, 100%, $E$13)</f>
        <v>4.3888999999999996</v>
      </c>
      <c r="F175" s="68">
        <f>4.3889 * CHOOSE(CONTROL!$C$22, $C$13, 100%, $E$13)</f>
        <v>4.3888999999999996</v>
      </c>
      <c r="G175" s="68">
        <f>4.3937 * CHOOSE(CONTROL!$C$22, $C$13, 100%, $E$13)</f>
        <v>4.3936999999999999</v>
      </c>
      <c r="H175" s="68">
        <f>6.8566* CHOOSE(CONTROL!$C$22, $C$13, 100%, $E$13)</f>
        <v>6.8566000000000003</v>
      </c>
      <c r="I175" s="68">
        <f>6.8613 * CHOOSE(CONTROL!$C$22, $C$13, 100%, $E$13)</f>
        <v>6.8613</v>
      </c>
      <c r="J175" s="68">
        <f>4.3889 * CHOOSE(CONTROL!$C$22, $C$13, 100%, $E$13)</f>
        <v>4.3888999999999996</v>
      </c>
      <c r="K175" s="68">
        <f>4.3937 * CHOOSE(CONTROL!$C$22, $C$13, 100%, $E$13)</f>
        <v>4.3936999999999999</v>
      </c>
    </row>
    <row r="176" spans="1:11" ht="15">
      <c r="A176" s="13">
        <v>46478</v>
      </c>
      <c r="B176" s="67">
        <f>3.701 * CHOOSE(CONTROL!$C$22, $C$13, 100%, $E$13)</f>
        <v>3.7010000000000001</v>
      </c>
      <c r="C176" s="67">
        <f>3.701 * CHOOSE(CONTROL!$C$22, $C$13, 100%, $E$13)</f>
        <v>3.7010000000000001</v>
      </c>
      <c r="D176" s="67">
        <f>3.7049 * CHOOSE(CONTROL!$C$22, $C$13, 100%, $E$13)</f>
        <v>3.7048999999999999</v>
      </c>
      <c r="E176" s="68">
        <f>4.4439 * CHOOSE(CONTROL!$C$22, $C$13, 100%, $E$13)</f>
        <v>4.4439000000000002</v>
      </c>
      <c r="F176" s="68">
        <f>4.4439 * CHOOSE(CONTROL!$C$22, $C$13, 100%, $E$13)</f>
        <v>4.4439000000000002</v>
      </c>
      <c r="G176" s="68">
        <f>4.4487 * CHOOSE(CONTROL!$C$22, $C$13, 100%, $E$13)</f>
        <v>4.4486999999999997</v>
      </c>
      <c r="H176" s="68">
        <f>6.8708* CHOOSE(CONTROL!$C$22, $C$13, 100%, $E$13)</f>
        <v>6.8708</v>
      </c>
      <c r="I176" s="68">
        <f>6.8756 * CHOOSE(CONTROL!$C$22, $C$13, 100%, $E$13)</f>
        <v>6.8756000000000004</v>
      </c>
      <c r="J176" s="68">
        <f>4.4439 * CHOOSE(CONTROL!$C$22, $C$13, 100%, $E$13)</f>
        <v>4.4439000000000002</v>
      </c>
      <c r="K176" s="68">
        <f>4.4487 * CHOOSE(CONTROL!$C$22, $C$13, 100%, $E$13)</f>
        <v>4.4486999999999997</v>
      </c>
    </row>
    <row r="177" spans="1:11" ht="15">
      <c r="A177" s="13">
        <v>46508</v>
      </c>
      <c r="B177" s="67">
        <f>3.701 * CHOOSE(CONTROL!$C$22, $C$13, 100%, $E$13)</f>
        <v>3.7010000000000001</v>
      </c>
      <c r="C177" s="67">
        <f>3.701 * CHOOSE(CONTROL!$C$22, $C$13, 100%, $E$13)</f>
        <v>3.7010000000000001</v>
      </c>
      <c r="D177" s="67">
        <f>3.7065 * CHOOSE(CONTROL!$C$22, $C$13, 100%, $E$13)</f>
        <v>3.7065000000000001</v>
      </c>
      <c r="E177" s="68">
        <f>4.4661 * CHOOSE(CONTROL!$C$22, $C$13, 100%, $E$13)</f>
        <v>4.4661</v>
      </c>
      <c r="F177" s="68">
        <f>4.4661 * CHOOSE(CONTROL!$C$22, $C$13, 100%, $E$13)</f>
        <v>4.4661</v>
      </c>
      <c r="G177" s="68">
        <f>4.4728 * CHOOSE(CONTROL!$C$22, $C$13, 100%, $E$13)</f>
        <v>4.4728000000000003</v>
      </c>
      <c r="H177" s="68">
        <f>6.8852* CHOOSE(CONTROL!$C$22, $C$13, 100%, $E$13)</f>
        <v>6.8852000000000002</v>
      </c>
      <c r="I177" s="68">
        <f>6.8919 * CHOOSE(CONTROL!$C$22, $C$13, 100%, $E$13)</f>
        <v>6.8918999999999997</v>
      </c>
      <c r="J177" s="68">
        <f>4.4661 * CHOOSE(CONTROL!$C$22, $C$13, 100%, $E$13)</f>
        <v>4.4661</v>
      </c>
      <c r="K177" s="68">
        <f>4.4728 * CHOOSE(CONTROL!$C$22, $C$13, 100%, $E$13)</f>
        <v>4.4728000000000003</v>
      </c>
    </row>
    <row r="178" spans="1:11" ht="15">
      <c r="A178" s="13">
        <v>46539</v>
      </c>
      <c r="B178" s="67">
        <f>3.7071 * CHOOSE(CONTROL!$C$22, $C$13, 100%, $E$13)</f>
        <v>3.7071000000000001</v>
      </c>
      <c r="C178" s="67">
        <f>3.7071 * CHOOSE(CONTROL!$C$22, $C$13, 100%, $E$13)</f>
        <v>3.7071000000000001</v>
      </c>
      <c r="D178" s="67">
        <f>3.7126 * CHOOSE(CONTROL!$C$22, $C$13, 100%, $E$13)</f>
        <v>3.7126000000000001</v>
      </c>
      <c r="E178" s="68">
        <f>4.4481 * CHOOSE(CONTROL!$C$22, $C$13, 100%, $E$13)</f>
        <v>4.4481000000000002</v>
      </c>
      <c r="F178" s="68">
        <f>4.4481 * CHOOSE(CONTROL!$C$22, $C$13, 100%, $E$13)</f>
        <v>4.4481000000000002</v>
      </c>
      <c r="G178" s="68">
        <f>4.4549 * CHOOSE(CONTROL!$C$22, $C$13, 100%, $E$13)</f>
        <v>4.4549000000000003</v>
      </c>
      <c r="H178" s="68">
        <f>6.8995* CHOOSE(CONTROL!$C$22, $C$13, 100%, $E$13)</f>
        <v>6.8994999999999997</v>
      </c>
      <c r="I178" s="68">
        <f>6.9062 * CHOOSE(CONTROL!$C$22, $C$13, 100%, $E$13)</f>
        <v>6.9062000000000001</v>
      </c>
      <c r="J178" s="68">
        <f>4.4481 * CHOOSE(CONTROL!$C$22, $C$13, 100%, $E$13)</f>
        <v>4.4481000000000002</v>
      </c>
      <c r="K178" s="68">
        <f>4.4549 * CHOOSE(CONTROL!$C$22, $C$13, 100%, $E$13)</f>
        <v>4.4549000000000003</v>
      </c>
    </row>
    <row r="179" spans="1:11" ht="15">
      <c r="A179" s="13">
        <v>46569</v>
      </c>
      <c r="B179" s="67">
        <f>3.7587 * CHOOSE(CONTROL!$C$22, $C$13, 100%, $E$13)</f>
        <v>3.7587000000000002</v>
      </c>
      <c r="C179" s="67">
        <f>3.7587 * CHOOSE(CONTROL!$C$22, $C$13, 100%, $E$13)</f>
        <v>3.7587000000000002</v>
      </c>
      <c r="D179" s="67">
        <f>3.7642 * CHOOSE(CONTROL!$C$22, $C$13, 100%, $E$13)</f>
        <v>3.7642000000000002</v>
      </c>
      <c r="E179" s="68">
        <f>4.5253 * CHOOSE(CONTROL!$C$22, $C$13, 100%, $E$13)</f>
        <v>4.5252999999999997</v>
      </c>
      <c r="F179" s="68">
        <f>4.5253 * CHOOSE(CONTROL!$C$22, $C$13, 100%, $E$13)</f>
        <v>4.5252999999999997</v>
      </c>
      <c r="G179" s="68">
        <f>4.532 * CHOOSE(CONTROL!$C$22, $C$13, 100%, $E$13)</f>
        <v>4.532</v>
      </c>
      <c r="H179" s="68">
        <f>6.9139* CHOOSE(CONTROL!$C$22, $C$13, 100%, $E$13)</f>
        <v>6.9138999999999999</v>
      </c>
      <c r="I179" s="68">
        <f>6.9206 * CHOOSE(CONTROL!$C$22, $C$13, 100%, $E$13)</f>
        <v>6.9206000000000003</v>
      </c>
      <c r="J179" s="68">
        <f>4.5253 * CHOOSE(CONTROL!$C$22, $C$13, 100%, $E$13)</f>
        <v>4.5252999999999997</v>
      </c>
      <c r="K179" s="68">
        <f>4.532 * CHOOSE(CONTROL!$C$22, $C$13, 100%, $E$13)</f>
        <v>4.532</v>
      </c>
    </row>
    <row r="180" spans="1:11" ht="15">
      <c r="A180" s="13">
        <v>46600</v>
      </c>
      <c r="B180" s="67">
        <f>3.7654 * CHOOSE(CONTROL!$C$22, $C$13, 100%, $E$13)</f>
        <v>3.7654000000000001</v>
      </c>
      <c r="C180" s="67">
        <f>3.7654 * CHOOSE(CONTROL!$C$22, $C$13, 100%, $E$13)</f>
        <v>3.7654000000000001</v>
      </c>
      <c r="D180" s="67">
        <f>3.7709 * CHOOSE(CONTROL!$C$22, $C$13, 100%, $E$13)</f>
        <v>3.7709000000000001</v>
      </c>
      <c r="E180" s="68">
        <f>4.4633 * CHOOSE(CONTROL!$C$22, $C$13, 100%, $E$13)</f>
        <v>4.4633000000000003</v>
      </c>
      <c r="F180" s="68">
        <f>4.4633 * CHOOSE(CONTROL!$C$22, $C$13, 100%, $E$13)</f>
        <v>4.4633000000000003</v>
      </c>
      <c r="G180" s="68">
        <f>4.47 * CHOOSE(CONTROL!$C$22, $C$13, 100%, $E$13)</f>
        <v>4.47</v>
      </c>
      <c r="H180" s="68">
        <f>6.9283* CHOOSE(CONTROL!$C$22, $C$13, 100%, $E$13)</f>
        <v>6.9283000000000001</v>
      </c>
      <c r="I180" s="68">
        <f>6.935 * CHOOSE(CONTROL!$C$22, $C$13, 100%, $E$13)</f>
        <v>6.9349999999999996</v>
      </c>
      <c r="J180" s="68">
        <f>4.4633 * CHOOSE(CONTROL!$C$22, $C$13, 100%, $E$13)</f>
        <v>4.4633000000000003</v>
      </c>
      <c r="K180" s="68">
        <f>4.47 * CHOOSE(CONTROL!$C$22, $C$13, 100%, $E$13)</f>
        <v>4.47</v>
      </c>
    </row>
    <row r="181" spans="1:11" ht="15">
      <c r="A181" s="13">
        <v>46631</v>
      </c>
      <c r="B181" s="67">
        <f>3.7623 * CHOOSE(CONTROL!$C$22, $C$13, 100%, $E$13)</f>
        <v>3.7623000000000002</v>
      </c>
      <c r="C181" s="67">
        <f>3.7623 * CHOOSE(CONTROL!$C$22, $C$13, 100%, $E$13)</f>
        <v>3.7623000000000002</v>
      </c>
      <c r="D181" s="67">
        <f>3.7678 * CHOOSE(CONTROL!$C$22, $C$13, 100%, $E$13)</f>
        <v>3.7677999999999998</v>
      </c>
      <c r="E181" s="68">
        <f>4.4538 * CHOOSE(CONTROL!$C$22, $C$13, 100%, $E$13)</f>
        <v>4.4538000000000002</v>
      </c>
      <c r="F181" s="68">
        <f>4.4538 * CHOOSE(CONTROL!$C$22, $C$13, 100%, $E$13)</f>
        <v>4.4538000000000002</v>
      </c>
      <c r="G181" s="68">
        <f>4.4605 * CHOOSE(CONTROL!$C$22, $C$13, 100%, $E$13)</f>
        <v>4.4604999999999997</v>
      </c>
      <c r="H181" s="68">
        <f>6.9427* CHOOSE(CONTROL!$C$22, $C$13, 100%, $E$13)</f>
        <v>6.9427000000000003</v>
      </c>
      <c r="I181" s="68">
        <f>6.9495 * CHOOSE(CONTROL!$C$22, $C$13, 100%, $E$13)</f>
        <v>6.9494999999999996</v>
      </c>
      <c r="J181" s="68">
        <f>4.4538 * CHOOSE(CONTROL!$C$22, $C$13, 100%, $E$13)</f>
        <v>4.4538000000000002</v>
      </c>
      <c r="K181" s="68">
        <f>4.4605 * CHOOSE(CONTROL!$C$22, $C$13, 100%, $E$13)</f>
        <v>4.4604999999999997</v>
      </c>
    </row>
    <row r="182" spans="1:11" ht="15">
      <c r="A182" s="13">
        <v>46661</v>
      </c>
      <c r="B182" s="67">
        <f>3.7564 * CHOOSE(CONTROL!$C$22, $C$13, 100%, $E$13)</f>
        <v>3.7564000000000002</v>
      </c>
      <c r="C182" s="67">
        <f>3.7564 * CHOOSE(CONTROL!$C$22, $C$13, 100%, $E$13)</f>
        <v>3.7564000000000002</v>
      </c>
      <c r="D182" s="67">
        <f>3.7603 * CHOOSE(CONTROL!$C$22, $C$13, 100%, $E$13)</f>
        <v>3.7603</v>
      </c>
      <c r="E182" s="68">
        <f>4.47 * CHOOSE(CONTROL!$C$22, $C$13, 100%, $E$13)</f>
        <v>4.47</v>
      </c>
      <c r="F182" s="68">
        <f>4.47 * CHOOSE(CONTROL!$C$22, $C$13, 100%, $E$13)</f>
        <v>4.47</v>
      </c>
      <c r="G182" s="68">
        <f>4.4748 * CHOOSE(CONTROL!$C$22, $C$13, 100%, $E$13)</f>
        <v>4.4748000000000001</v>
      </c>
      <c r="H182" s="68">
        <f>6.9572* CHOOSE(CONTROL!$C$22, $C$13, 100%, $E$13)</f>
        <v>6.9572000000000003</v>
      </c>
      <c r="I182" s="68">
        <f>6.962 * CHOOSE(CONTROL!$C$22, $C$13, 100%, $E$13)</f>
        <v>6.9619999999999997</v>
      </c>
      <c r="J182" s="68">
        <f>4.47 * CHOOSE(CONTROL!$C$22, $C$13, 100%, $E$13)</f>
        <v>4.47</v>
      </c>
      <c r="K182" s="68">
        <f>4.4748 * CHOOSE(CONTROL!$C$22, $C$13, 100%, $E$13)</f>
        <v>4.4748000000000001</v>
      </c>
    </row>
    <row r="183" spans="1:11" ht="15">
      <c r="A183" s="13">
        <v>46692</v>
      </c>
      <c r="B183" s="67">
        <f>3.7595 * CHOOSE(CONTROL!$C$22, $C$13, 100%, $E$13)</f>
        <v>3.7595000000000001</v>
      </c>
      <c r="C183" s="67">
        <f>3.7595 * CHOOSE(CONTROL!$C$22, $C$13, 100%, $E$13)</f>
        <v>3.7595000000000001</v>
      </c>
      <c r="D183" s="67">
        <f>3.7633 * CHOOSE(CONTROL!$C$22, $C$13, 100%, $E$13)</f>
        <v>3.7633000000000001</v>
      </c>
      <c r="E183" s="68">
        <f>4.4869 * CHOOSE(CONTROL!$C$22, $C$13, 100%, $E$13)</f>
        <v>4.4869000000000003</v>
      </c>
      <c r="F183" s="68">
        <f>4.4869 * CHOOSE(CONTROL!$C$22, $C$13, 100%, $E$13)</f>
        <v>4.4869000000000003</v>
      </c>
      <c r="G183" s="68">
        <f>4.4917 * CHOOSE(CONTROL!$C$22, $C$13, 100%, $E$13)</f>
        <v>4.4916999999999998</v>
      </c>
      <c r="H183" s="68">
        <f>6.9717* CHOOSE(CONTROL!$C$22, $C$13, 100%, $E$13)</f>
        <v>6.9717000000000002</v>
      </c>
      <c r="I183" s="68">
        <f>6.9764 * CHOOSE(CONTROL!$C$22, $C$13, 100%, $E$13)</f>
        <v>6.9763999999999999</v>
      </c>
      <c r="J183" s="68">
        <f>4.4869 * CHOOSE(CONTROL!$C$22, $C$13, 100%, $E$13)</f>
        <v>4.4869000000000003</v>
      </c>
      <c r="K183" s="68">
        <f>4.4917 * CHOOSE(CONTROL!$C$22, $C$13, 100%, $E$13)</f>
        <v>4.4916999999999998</v>
      </c>
    </row>
    <row r="184" spans="1:11" ht="15">
      <c r="A184" s="13">
        <v>46722</v>
      </c>
      <c r="B184" s="67">
        <f>3.7595 * CHOOSE(CONTROL!$C$22, $C$13, 100%, $E$13)</f>
        <v>3.7595000000000001</v>
      </c>
      <c r="C184" s="67">
        <f>3.7595 * CHOOSE(CONTROL!$C$22, $C$13, 100%, $E$13)</f>
        <v>3.7595000000000001</v>
      </c>
      <c r="D184" s="67">
        <f>3.7633 * CHOOSE(CONTROL!$C$22, $C$13, 100%, $E$13)</f>
        <v>3.7633000000000001</v>
      </c>
      <c r="E184" s="68">
        <f>4.4499 * CHOOSE(CONTROL!$C$22, $C$13, 100%, $E$13)</f>
        <v>4.4499000000000004</v>
      </c>
      <c r="F184" s="68">
        <f>4.4499 * CHOOSE(CONTROL!$C$22, $C$13, 100%, $E$13)</f>
        <v>4.4499000000000004</v>
      </c>
      <c r="G184" s="68">
        <f>4.4547 * CHOOSE(CONTROL!$C$22, $C$13, 100%, $E$13)</f>
        <v>4.4546999999999999</v>
      </c>
      <c r="H184" s="68">
        <f>6.9862* CHOOSE(CONTROL!$C$22, $C$13, 100%, $E$13)</f>
        <v>6.9862000000000002</v>
      </c>
      <c r="I184" s="68">
        <f>6.991 * CHOOSE(CONTROL!$C$22, $C$13, 100%, $E$13)</f>
        <v>6.9909999999999997</v>
      </c>
      <c r="J184" s="68">
        <f>4.4499 * CHOOSE(CONTROL!$C$22, $C$13, 100%, $E$13)</f>
        <v>4.4499000000000004</v>
      </c>
      <c r="K184" s="68">
        <f>4.4547 * CHOOSE(CONTROL!$C$22, $C$13, 100%, $E$13)</f>
        <v>4.4546999999999999</v>
      </c>
    </row>
    <row r="185" spans="1:11" ht="15">
      <c r="A185" s="13">
        <v>46753</v>
      </c>
      <c r="B185" s="67">
        <f>3.7926 * CHOOSE(CONTROL!$C$22, $C$13, 100%, $E$13)</f>
        <v>3.7926000000000002</v>
      </c>
      <c r="C185" s="67">
        <f>3.7926 * CHOOSE(CONTROL!$C$22, $C$13, 100%, $E$13)</f>
        <v>3.7926000000000002</v>
      </c>
      <c r="D185" s="67">
        <f>3.7965 * CHOOSE(CONTROL!$C$22, $C$13, 100%, $E$13)</f>
        <v>3.7965</v>
      </c>
      <c r="E185" s="68">
        <f>4.5119 * CHOOSE(CONTROL!$C$22, $C$13, 100%, $E$13)</f>
        <v>4.5118999999999998</v>
      </c>
      <c r="F185" s="68">
        <f>4.5119 * CHOOSE(CONTROL!$C$22, $C$13, 100%, $E$13)</f>
        <v>4.5118999999999998</v>
      </c>
      <c r="G185" s="68">
        <f>4.5167 * CHOOSE(CONTROL!$C$22, $C$13, 100%, $E$13)</f>
        <v>4.5167000000000002</v>
      </c>
      <c r="H185" s="68">
        <f>7.0008* CHOOSE(CONTROL!$C$22, $C$13, 100%, $E$13)</f>
        <v>7.0007999999999999</v>
      </c>
      <c r="I185" s="68">
        <f>7.0055 * CHOOSE(CONTROL!$C$22, $C$13, 100%, $E$13)</f>
        <v>7.0054999999999996</v>
      </c>
      <c r="J185" s="68">
        <f>4.5119 * CHOOSE(CONTROL!$C$22, $C$13, 100%, $E$13)</f>
        <v>4.5118999999999998</v>
      </c>
      <c r="K185" s="68">
        <f>4.5167 * CHOOSE(CONTROL!$C$22, $C$13, 100%, $E$13)</f>
        <v>4.5167000000000002</v>
      </c>
    </row>
    <row r="186" spans="1:11" ht="15">
      <c r="A186" s="13">
        <v>46784</v>
      </c>
      <c r="B186" s="67">
        <f>3.7896 * CHOOSE(CONTROL!$C$22, $C$13, 100%, $E$13)</f>
        <v>3.7896000000000001</v>
      </c>
      <c r="C186" s="67">
        <f>3.7896 * CHOOSE(CONTROL!$C$22, $C$13, 100%, $E$13)</f>
        <v>3.7896000000000001</v>
      </c>
      <c r="D186" s="67">
        <f>3.7934 * CHOOSE(CONTROL!$C$22, $C$13, 100%, $E$13)</f>
        <v>3.7934000000000001</v>
      </c>
      <c r="E186" s="68">
        <f>4.438 * CHOOSE(CONTROL!$C$22, $C$13, 100%, $E$13)</f>
        <v>4.4379999999999997</v>
      </c>
      <c r="F186" s="68">
        <f>4.438 * CHOOSE(CONTROL!$C$22, $C$13, 100%, $E$13)</f>
        <v>4.4379999999999997</v>
      </c>
      <c r="G186" s="68">
        <f>4.4428 * CHOOSE(CONTROL!$C$22, $C$13, 100%, $E$13)</f>
        <v>4.4428000000000001</v>
      </c>
      <c r="H186" s="68">
        <f>7.0153* CHOOSE(CONTROL!$C$22, $C$13, 100%, $E$13)</f>
        <v>7.0152999999999999</v>
      </c>
      <c r="I186" s="68">
        <f>7.0201 * CHOOSE(CONTROL!$C$22, $C$13, 100%, $E$13)</f>
        <v>7.0201000000000002</v>
      </c>
      <c r="J186" s="68">
        <f>4.438 * CHOOSE(CONTROL!$C$22, $C$13, 100%, $E$13)</f>
        <v>4.4379999999999997</v>
      </c>
      <c r="K186" s="68">
        <f>4.4428 * CHOOSE(CONTROL!$C$22, $C$13, 100%, $E$13)</f>
        <v>4.4428000000000001</v>
      </c>
    </row>
    <row r="187" spans="1:11" ht="15">
      <c r="A187" s="13">
        <v>46813</v>
      </c>
      <c r="B187" s="67">
        <f>3.7865 * CHOOSE(CONTROL!$C$22, $C$13, 100%, $E$13)</f>
        <v>3.7865000000000002</v>
      </c>
      <c r="C187" s="67">
        <f>3.7865 * CHOOSE(CONTROL!$C$22, $C$13, 100%, $E$13)</f>
        <v>3.7865000000000002</v>
      </c>
      <c r="D187" s="67">
        <f>3.7904 * CHOOSE(CONTROL!$C$22, $C$13, 100%, $E$13)</f>
        <v>3.7904</v>
      </c>
      <c r="E187" s="68">
        <f>4.4925 * CHOOSE(CONTROL!$C$22, $C$13, 100%, $E$13)</f>
        <v>4.4924999999999997</v>
      </c>
      <c r="F187" s="68">
        <f>4.4925 * CHOOSE(CONTROL!$C$22, $C$13, 100%, $E$13)</f>
        <v>4.4924999999999997</v>
      </c>
      <c r="G187" s="68">
        <f>4.4972 * CHOOSE(CONTROL!$C$22, $C$13, 100%, $E$13)</f>
        <v>4.4972000000000003</v>
      </c>
      <c r="H187" s="68">
        <f>7.03* CHOOSE(CONTROL!$C$22, $C$13, 100%, $E$13)</f>
        <v>7.03</v>
      </c>
      <c r="I187" s="68">
        <f>7.0347 * CHOOSE(CONTROL!$C$22, $C$13, 100%, $E$13)</f>
        <v>7.0347</v>
      </c>
      <c r="J187" s="68">
        <f>4.4925 * CHOOSE(CONTROL!$C$22, $C$13, 100%, $E$13)</f>
        <v>4.4924999999999997</v>
      </c>
      <c r="K187" s="68">
        <f>4.4972 * CHOOSE(CONTROL!$C$22, $C$13, 100%, $E$13)</f>
        <v>4.4972000000000003</v>
      </c>
    </row>
    <row r="188" spans="1:11" ht="15">
      <c r="A188" s="13">
        <v>46844</v>
      </c>
      <c r="B188" s="67">
        <f>3.7839 * CHOOSE(CONTROL!$C$22, $C$13, 100%, $E$13)</f>
        <v>3.7839</v>
      </c>
      <c r="C188" s="67">
        <f>3.7839 * CHOOSE(CONTROL!$C$22, $C$13, 100%, $E$13)</f>
        <v>3.7839</v>
      </c>
      <c r="D188" s="67">
        <f>3.7878 * CHOOSE(CONTROL!$C$22, $C$13, 100%, $E$13)</f>
        <v>3.7877999999999998</v>
      </c>
      <c r="E188" s="68">
        <f>4.549 * CHOOSE(CONTROL!$C$22, $C$13, 100%, $E$13)</f>
        <v>4.5490000000000004</v>
      </c>
      <c r="F188" s="68">
        <f>4.549 * CHOOSE(CONTROL!$C$22, $C$13, 100%, $E$13)</f>
        <v>4.5490000000000004</v>
      </c>
      <c r="G188" s="68">
        <f>4.5538 * CHOOSE(CONTROL!$C$22, $C$13, 100%, $E$13)</f>
        <v>4.5537999999999998</v>
      </c>
      <c r="H188" s="68">
        <f>7.0446* CHOOSE(CONTROL!$C$22, $C$13, 100%, $E$13)</f>
        <v>7.0446</v>
      </c>
      <c r="I188" s="68">
        <f>7.0494 * CHOOSE(CONTROL!$C$22, $C$13, 100%, $E$13)</f>
        <v>7.0494000000000003</v>
      </c>
      <c r="J188" s="68">
        <f>4.549 * CHOOSE(CONTROL!$C$22, $C$13, 100%, $E$13)</f>
        <v>4.5490000000000004</v>
      </c>
      <c r="K188" s="68">
        <f>4.5538 * CHOOSE(CONTROL!$C$22, $C$13, 100%, $E$13)</f>
        <v>4.5537999999999998</v>
      </c>
    </row>
    <row r="189" spans="1:11" ht="15">
      <c r="A189" s="13">
        <v>46874</v>
      </c>
      <c r="B189" s="67">
        <f>3.7839 * CHOOSE(CONTROL!$C$22, $C$13, 100%, $E$13)</f>
        <v>3.7839</v>
      </c>
      <c r="C189" s="67">
        <f>3.7839 * CHOOSE(CONTROL!$C$22, $C$13, 100%, $E$13)</f>
        <v>3.7839</v>
      </c>
      <c r="D189" s="67">
        <f>3.7894 * CHOOSE(CONTROL!$C$22, $C$13, 100%, $E$13)</f>
        <v>3.7894000000000001</v>
      </c>
      <c r="E189" s="68">
        <f>4.5718 * CHOOSE(CONTROL!$C$22, $C$13, 100%, $E$13)</f>
        <v>4.5717999999999996</v>
      </c>
      <c r="F189" s="68">
        <f>4.5718 * CHOOSE(CONTROL!$C$22, $C$13, 100%, $E$13)</f>
        <v>4.5717999999999996</v>
      </c>
      <c r="G189" s="68">
        <f>4.5785 * CHOOSE(CONTROL!$C$22, $C$13, 100%, $E$13)</f>
        <v>4.5785</v>
      </c>
      <c r="H189" s="68">
        <f>7.0593* CHOOSE(CONTROL!$C$22, $C$13, 100%, $E$13)</f>
        <v>7.0593000000000004</v>
      </c>
      <c r="I189" s="68">
        <f>7.066 * CHOOSE(CONTROL!$C$22, $C$13, 100%, $E$13)</f>
        <v>7.0659999999999998</v>
      </c>
      <c r="J189" s="68">
        <f>4.5718 * CHOOSE(CONTROL!$C$22, $C$13, 100%, $E$13)</f>
        <v>4.5717999999999996</v>
      </c>
      <c r="K189" s="68">
        <f>4.5785 * CHOOSE(CONTROL!$C$22, $C$13, 100%, $E$13)</f>
        <v>4.5785</v>
      </c>
    </row>
    <row r="190" spans="1:11" ht="15">
      <c r="A190" s="13">
        <v>46905</v>
      </c>
      <c r="B190" s="67">
        <f>3.79 * CHOOSE(CONTROL!$C$22, $C$13, 100%, $E$13)</f>
        <v>3.79</v>
      </c>
      <c r="C190" s="67">
        <f>3.79 * CHOOSE(CONTROL!$C$22, $C$13, 100%, $E$13)</f>
        <v>3.79</v>
      </c>
      <c r="D190" s="67">
        <f>3.7955 * CHOOSE(CONTROL!$C$22, $C$13, 100%, $E$13)</f>
        <v>3.7955000000000001</v>
      </c>
      <c r="E190" s="68">
        <f>4.5532 * CHOOSE(CONTROL!$C$22, $C$13, 100%, $E$13)</f>
        <v>4.5532000000000004</v>
      </c>
      <c r="F190" s="68">
        <f>4.5532 * CHOOSE(CONTROL!$C$22, $C$13, 100%, $E$13)</f>
        <v>4.5532000000000004</v>
      </c>
      <c r="G190" s="68">
        <f>4.56 * CHOOSE(CONTROL!$C$22, $C$13, 100%, $E$13)</f>
        <v>4.5599999999999996</v>
      </c>
      <c r="H190" s="68">
        <f>7.074* CHOOSE(CONTROL!$C$22, $C$13, 100%, $E$13)</f>
        <v>7.0739999999999998</v>
      </c>
      <c r="I190" s="68">
        <f>7.0807 * CHOOSE(CONTROL!$C$22, $C$13, 100%, $E$13)</f>
        <v>7.0807000000000002</v>
      </c>
      <c r="J190" s="68">
        <f>4.5532 * CHOOSE(CONTROL!$C$22, $C$13, 100%, $E$13)</f>
        <v>4.5532000000000004</v>
      </c>
      <c r="K190" s="68">
        <f>4.56 * CHOOSE(CONTROL!$C$22, $C$13, 100%, $E$13)</f>
        <v>4.5599999999999996</v>
      </c>
    </row>
    <row r="191" spans="1:11" ht="15">
      <c r="A191" s="13">
        <v>46935</v>
      </c>
      <c r="B191" s="67">
        <f>3.8518 * CHOOSE(CONTROL!$C$22, $C$13, 100%, $E$13)</f>
        <v>3.8517999999999999</v>
      </c>
      <c r="C191" s="67">
        <f>3.8518 * CHOOSE(CONTROL!$C$22, $C$13, 100%, $E$13)</f>
        <v>3.8517999999999999</v>
      </c>
      <c r="D191" s="67">
        <f>3.8573 * CHOOSE(CONTROL!$C$22, $C$13, 100%, $E$13)</f>
        <v>3.8573</v>
      </c>
      <c r="E191" s="68">
        <f>4.6316 * CHOOSE(CONTROL!$C$22, $C$13, 100%, $E$13)</f>
        <v>4.6315999999999997</v>
      </c>
      <c r="F191" s="68">
        <f>4.6316 * CHOOSE(CONTROL!$C$22, $C$13, 100%, $E$13)</f>
        <v>4.6315999999999997</v>
      </c>
      <c r="G191" s="68">
        <f>4.6383 * CHOOSE(CONTROL!$C$22, $C$13, 100%, $E$13)</f>
        <v>4.6383000000000001</v>
      </c>
      <c r="H191" s="68">
        <f>7.0887* CHOOSE(CONTROL!$C$22, $C$13, 100%, $E$13)</f>
        <v>7.0887000000000002</v>
      </c>
      <c r="I191" s="68">
        <f>7.0955 * CHOOSE(CONTROL!$C$22, $C$13, 100%, $E$13)</f>
        <v>7.0955000000000004</v>
      </c>
      <c r="J191" s="68">
        <f>4.6316 * CHOOSE(CONTROL!$C$22, $C$13, 100%, $E$13)</f>
        <v>4.6315999999999997</v>
      </c>
      <c r="K191" s="68">
        <f>4.6383 * CHOOSE(CONTROL!$C$22, $C$13, 100%, $E$13)</f>
        <v>4.6383000000000001</v>
      </c>
    </row>
    <row r="192" spans="1:11" ht="15">
      <c r="A192" s="13">
        <v>46966</v>
      </c>
      <c r="B192" s="67">
        <f>3.8585 * CHOOSE(CONTROL!$C$22, $C$13, 100%, $E$13)</f>
        <v>3.8584999999999998</v>
      </c>
      <c r="C192" s="67">
        <f>3.8585 * CHOOSE(CONTROL!$C$22, $C$13, 100%, $E$13)</f>
        <v>3.8584999999999998</v>
      </c>
      <c r="D192" s="67">
        <f>3.864 * CHOOSE(CONTROL!$C$22, $C$13, 100%, $E$13)</f>
        <v>3.8639999999999999</v>
      </c>
      <c r="E192" s="68">
        <f>4.5679 * CHOOSE(CONTROL!$C$22, $C$13, 100%, $E$13)</f>
        <v>4.5678999999999998</v>
      </c>
      <c r="F192" s="68">
        <f>4.5679 * CHOOSE(CONTROL!$C$22, $C$13, 100%, $E$13)</f>
        <v>4.5678999999999998</v>
      </c>
      <c r="G192" s="68">
        <f>4.5746 * CHOOSE(CONTROL!$C$22, $C$13, 100%, $E$13)</f>
        <v>4.5746000000000002</v>
      </c>
      <c r="H192" s="68">
        <f>7.1035* CHOOSE(CONTROL!$C$22, $C$13, 100%, $E$13)</f>
        <v>7.1035000000000004</v>
      </c>
      <c r="I192" s="68">
        <f>7.1102 * CHOOSE(CONTROL!$C$22, $C$13, 100%, $E$13)</f>
        <v>7.1101999999999999</v>
      </c>
      <c r="J192" s="68">
        <f>4.5679 * CHOOSE(CONTROL!$C$22, $C$13, 100%, $E$13)</f>
        <v>4.5678999999999998</v>
      </c>
      <c r="K192" s="68">
        <f>4.5746 * CHOOSE(CONTROL!$C$22, $C$13, 100%, $E$13)</f>
        <v>4.5746000000000002</v>
      </c>
    </row>
    <row r="193" spans="1:11" ht="15">
      <c r="A193" s="13">
        <v>46997</v>
      </c>
      <c r="B193" s="67">
        <f>3.8554 * CHOOSE(CONTROL!$C$22, $C$13, 100%, $E$13)</f>
        <v>3.8553999999999999</v>
      </c>
      <c r="C193" s="67">
        <f>3.8554 * CHOOSE(CONTROL!$C$22, $C$13, 100%, $E$13)</f>
        <v>3.8553999999999999</v>
      </c>
      <c r="D193" s="67">
        <f>3.8609 * CHOOSE(CONTROL!$C$22, $C$13, 100%, $E$13)</f>
        <v>3.8609</v>
      </c>
      <c r="E193" s="68">
        <f>4.5582 * CHOOSE(CONTROL!$C$22, $C$13, 100%, $E$13)</f>
        <v>4.5582000000000003</v>
      </c>
      <c r="F193" s="68">
        <f>4.5582 * CHOOSE(CONTROL!$C$22, $C$13, 100%, $E$13)</f>
        <v>4.5582000000000003</v>
      </c>
      <c r="G193" s="68">
        <f>4.5649 * CHOOSE(CONTROL!$C$22, $C$13, 100%, $E$13)</f>
        <v>4.5648999999999997</v>
      </c>
      <c r="H193" s="68">
        <f>7.1183* CHOOSE(CONTROL!$C$22, $C$13, 100%, $E$13)</f>
        <v>7.1182999999999996</v>
      </c>
      <c r="I193" s="68">
        <f>7.125 * CHOOSE(CONTROL!$C$22, $C$13, 100%, $E$13)</f>
        <v>7.125</v>
      </c>
      <c r="J193" s="68">
        <f>4.5582 * CHOOSE(CONTROL!$C$22, $C$13, 100%, $E$13)</f>
        <v>4.5582000000000003</v>
      </c>
      <c r="K193" s="68">
        <f>4.5649 * CHOOSE(CONTROL!$C$22, $C$13, 100%, $E$13)</f>
        <v>4.5648999999999997</v>
      </c>
    </row>
    <row r="194" spans="1:11" ht="15">
      <c r="A194" s="13">
        <v>47027</v>
      </c>
      <c r="B194" s="67">
        <f>3.8498 * CHOOSE(CONTROL!$C$22, $C$13, 100%, $E$13)</f>
        <v>3.8498000000000001</v>
      </c>
      <c r="C194" s="67">
        <f>3.8498 * CHOOSE(CONTROL!$C$22, $C$13, 100%, $E$13)</f>
        <v>3.8498000000000001</v>
      </c>
      <c r="D194" s="67">
        <f>3.8537 * CHOOSE(CONTROL!$C$22, $C$13, 100%, $E$13)</f>
        <v>3.8536999999999999</v>
      </c>
      <c r="E194" s="68">
        <f>4.5751 * CHOOSE(CONTROL!$C$22, $C$13, 100%, $E$13)</f>
        <v>4.5750999999999999</v>
      </c>
      <c r="F194" s="68">
        <f>4.5751 * CHOOSE(CONTROL!$C$22, $C$13, 100%, $E$13)</f>
        <v>4.5750999999999999</v>
      </c>
      <c r="G194" s="68">
        <f>4.5799 * CHOOSE(CONTROL!$C$22, $C$13, 100%, $E$13)</f>
        <v>4.5799000000000003</v>
      </c>
      <c r="H194" s="68">
        <f>7.1331* CHOOSE(CONTROL!$C$22, $C$13, 100%, $E$13)</f>
        <v>7.1330999999999998</v>
      </c>
      <c r="I194" s="68">
        <f>7.1379 * CHOOSE(CONTROL!$C$22, $C$13, 100%, $E$13)</f>
        <v>7.1379000000000001</v>
      </c>
      <c r="J194" s="68">
        <f>4.5751 * CHOOSE(CONTROL!$C$22, $C$13, 100%, $E$13)</f>
        <v>4.5750999999999999</v>
      </c>
      <c r="K194" s="68">
        <f>4.5799 * CHOOSE(CONTROL!$C$22, $C$13, 100%, $E$13)</f>
        <v>4.5799000000000003</v>
      </c>
    </row>
    <row r="195" spans="1:11" ht="15">
      <c r="A195" s="13">
        <v>47058</v>
      </c>
      <c r="B195" s="67">
        <f>3.8529 * CHOOSE(CONTROL!$C$22, $C$13, 100%, $E$13)</f>
        <v>3.8529</v>
      </c>
      <c r="C195" s="67">
        <f>3.8529 * CHOOSE(CONTROL!$C$22, $C$13, 100%, $E$13)</f>
        <v>3.8529</v>
      </c>
      <c r="D195" s="67">
        <f>3.8568 * CHOOSE(CONTROL!$C$22, $C$13, 100%, $E$13)</f>
        <v>3.8567999999999998</v>
      </c>
      <c r="E195" s="68">
        <f>4.5924 * CHOOSE(CONTROL!$C$22, $C$13, 100%, $E$13)</f>
        <v>4.5923999999999996</v>
      </c>
      <c r="F195" s="68">
        <f>4.5924 * CHOOSE(CONTROL!$C$22, $C$13, 100%, $E$13)</f>
        <v>4.5923999999999996</v>
      </c>
      <c r="G195" s="68">
        <f>4.5972 * CHOOSE(CONTROL!$C$22, $C$13, 100%, $E$13)</f>
        <v>4.5972</v>
      </c>
      <c r="H195" s="68">
        <f>7.148* CHOOSE(CONTROL!$C$22, $C$13, 100%, $E$13)</f>
        <v>7.1479999999999997</v>
      </c>
      <c r="I195" s="68">
        <f>7.1527 * CHOOSE(CONTROL!$C$22, $C$13, 100%, $E$13)</f>
        <v>7.1527000000000003</v>
      </c>
      <c r="J195" s="68">
        <f>4.5924 * CHOOSE(CONTROL!$C$22, $C$13, 100%, $E$13)</f>
        <v>4.5923999999999996</v>
      </c>
      <c r="K195" s="68">
        <f>4.5972 * CHOOSE(CONTROL!$C$22, $C$13, 100%, $E$13)</f>
        <v>4.5972</v>
      </c>
    </row>
    <row r="196" spans="1:11" ht="15">
      <c r="A196" s="13">
        <v>47088</v>
      </c>
      <c r="B196" s="67">
        <f>3.8529 * CHOOSE(CONTROL!$C$22, $C$13, 100%, $E$13)</f>
        <v>3.8529</v>
      </c>
      <c r="C196" s="67">
        <f>3.8529 * CHOOSE(CONTROL!$C$22, $C$13, 100%, $E$13)</f>
        <v>3.8529</v>
      </c>
      <c r="D196" s="67">
        <f>3.8568 * CHOOSE(CONTROL!$C$22, $C$13, 100%, $E$13)</f>
        <v>3.8567999999999998</v>
      </c>
      <c r="E196" s="68">
        <f>4.5545 * CHOOSE(CONTROL!$C$22, $C$13, 100%, $E$13)</f>
        <v>4.5545</v>
      </c>
      <c r="F196" s="68">
        <f>4.5545 * CHOOSE(CONTROL!$C$22, $C$13, 100%, $E$13)</f>
        <v>4.5545</v>
      </c>
      <c r="G196" s="68">
        <f>4.5592 * CHOOSE(CONTROL!$C$22, $C$13, 100%, $E$13)</f>
        <v>4.5591999999999997</v>
      </c>
      <c r="H196" s="68">
        <f>7.1629* CHOOSE(CONTROL!$C$22, $C$13, 100%, $E$13)</f>
        <v>7.1628999999999996</v>
      </c>
      <c r="I196" s="68">
        <f>7.1676 * CHOOSE(CONTROL!$C$22, $C$13, 100%, $E$13)</f>
        <v>7.1676000000000002</v>
      </c>
      <c r="J196" s="68">
        <f>4.5545 * CHOOSE(CONTROL!$C$22, $C$13, 100%, $E$13)</f>
        <v>4.5545</v>
      </c>
      <c r="K196" s="68">
        <f>4.5592 * CHOOSE(CONTROL!$C$22, $C$13, 100%, $E$13)</f>
        <v>4.5591999999999997</v>
      </c>
    </row>
    <row r="197" spans="1:11" ht="15">
      <c r="A197" s="13">
        <v>47119</v>
      </c>
      <c r="B197" s="67">
        <f>3.8828 * CHOOSE(CONTROL!$C$22, $C$13, 100%, $E$13)</f>
        <v>3.8828</v>
      </c>
      <c r="C197" s="67">
        <f>3.8828 * CHOOSE(CONTROL!$C$22, $C$13, 100%, $E$13)</f>
        <v>3.8828</v>
      </c>
      <c r="D197" s="67">
        <f>3.8867 * CHOOSE(CONTROL!$C$22, $C$13, 100%, $E$13)</f>
        <v>3.8866999999999998</v>
      </c>
      <c r="E197" s="68">
        <f>4.6181 * CHOOSE(CONTROL!$C$22, $C$13, 100%, $E$13)</f>
        <v>4.6181000000000001</v>
      </c>
      <c r="F197" s="68">
        <f>4.6181 * CHOOSE(CONTROL!$C$22, $C$13, 100%, $E$13)</f>
        <v>4.6181000000000001</v>
      </c>
      <c r="G197" s="68">
        <f>4.6229 * CHOOSE(CONTROL!$C$22, $C$13, 100%, $E$13)</f>
        <v>4.6228999999999996</v>
      </c>
      <c r="H197" s="68">
        <f>7.1778* CHOOSE(CONTROL!$C$22, $C$13, 100%, $E$13)</f>
        <v>7.1778000000000004</v>
      </c>
      <c r="I197" s="68">
        <f>7.1826 * CHOOSE(CONTROL!$C$22, $C$13, 100%, $E$13)</f>
        <v>7.1825999999999999</v>
      </c>
      <c r="J197" s="68">
        <f>4.6181 * CHOOSE(CONTROL!$C$22, $C$13, 100%, $E$13)</f>
        <v>4.6181000000000001</v>
      </c>
      <c r="K197" s="68">
        <f>4.6229 * CHOOSE(CONTROL!$C$22, $C$13, 100%, $E$13)</f>
        <v>4.6228999999999996</v>
      </c>
    </row>
    <row r="198" spans="1:11" ht="15">
      <c r="A198" s="13">
        <v>47150</v>
      </c>
      <c r="B198" s="67">
        <f>3.8798 * CHOOSE(CONTROL!$C$22, $C$13, 100%, $E$13)</f>
        <v>3.8797999999999999</v>
      </c>
      <c r="C198" s="67">
        <f>3.8798 * CHOOSE(CONTROL!$C$22, $C$13, 100%, $E$13)</f>
        <v>3.8797999999999999</v>
      </c>
      <c r="D198" s="67">
        <f>3.8837 * CHOOSE(CONTROL!$C$22, $C$13, 100%, $E$13)</f>
        <v>3.8837000000000002</v>
      </c>
      <c r="E198" s="68">
        <f>4.5424 * CHOOSE(CONTROL!$C$22, $C$13, 100%, $E$13)</f>
        <v>4.5423999999999998</v>
      </c>
      <c r="F198" s="68">
        <f>4.5424 * CHOOSE(CONTROL!$C$22, $C$13, 100%, $E$13)</f>
        <v>4.5423999999999998</v>
      </c>
      <c r="G198" s="68">
        <f>4.5471 * CHOOSE(CONTROL!$C$22, $C$13, 100%, $E$13)</f>
        <v>4.5471000000000004</v>
      </c>
      <c r="H198" s="68">
        <f>7.1927* CHOOSE(CONTROL!$C$22, $C$13, 100%, $E$13)</f>
        <v>7.1927000000000003</v>
      </c>
      <c r="I198" s="68">
        <f>7.1975 * CHOOSE(CONTROL!$C$22, $C$13, 100%, $E$13)</f>
        <v>7.1974999999999998</v>
      </c>
      <c r="J198" s="68">
        <f>4.5424 * CHOOSE(CONTROL!$C$22, $C$13, 100%, $E$13)</f>
        <v>4.5423999999999998</v>
      </c>
      <c r="K198" s="68">
        <f>4.5471 * CHOOSE(CONTROL!$C$22, $C$13, 100%, $E$13)</f>
        <v>4.5471000000000004</v>
      </c>
    </row>
    <row r="199" spans="1:11" ht="15">
      <c r="A199" s="13">
        <v>47178</v>
      </c>
      <c r="B199" s="67">
        <f>3.8767 * CHOOSE(CONTROL!$C$22, $C$13, 100%, $E$13)</f>
        <v>3.8767</v>
      </c>
      <c r="C199" s="67">
        <f>3.8767 * CHOOSE(CONTROL!$C$22, $C$13, 100%, $E$13)</f>
        <v>3.8767</v>
      </c>
      <c r="D199" s="67">
        <f>3.8806 * CHOOSE(CONTROL!$C$22, $C$13, 100%, $E$13)</f>
        <v>3.8805999999999998</v>
      </c>
      <c r="E199" s="68">
        <f>4.5983 * CHOOSE(CONTROL!$C$22, $C$13, 100%, $E$13)</f>
        <v>4.5983000000000001</v>
      </c>
      <c r="F199" s="68">
        <f>4.5983 * CHOOSE(CONTROL!$C$22, $C$13, 100%, $E$13)</f>
        <v>4.5983000000000001</v>
      </c>
      <c r="G199" s="68">
        <f>4.603 * CHOOSE(CONTROL!$C$22, $C$13, 100%, $E$13)</f>
        <v>4.6029999999999998</v>
      </c>
      <c r="H199" s="68">
        <f>7.2077* CHOOSE(CONTROL!$C$22, $C$13, 100%, $E$13)</f>
        <v>7.2077</v>
      </c>
      <c r="I199" s="68">
        <f>7.2125 * CHOOSE(CONTROL!$C$22, $C$13, 100%, $E$13)</f>
        <v>7.2125000000000004</v>
      </c>
      <c r="J199" s="68">
        <f>4.5983 * CHOOSE(CONTROL!$C$22, $C$13, 100%, $E$13)</f>
        <v>4.5983000000000001</v>
      </c>
      <c r="K199" s="68">
        <f>4.603 * CHOOSE(CONTROL!$C$22, $C$13, 100%, $E$13)</f>
        <v>4.6029999999999998</v>
      </c>
    </row>
    <row r="200" spans="1:11" ht="15">
      <c r="A200" s="13">
        <v>47209</v>
      </c>
      <c r="B200" s="67">
        <f>3.8743 * CHOOSE(CONTROL!$C$22, $C$13, 100%, $E$13)</f>
        <v>3.8742999999999999</v>
      </c>
      <c r="C200" s="67">
        <f>3.8743 * CHOOSE(CONTROL!$C$22, $C$13, 100%, $E$13)</f>
        <v>3.8742999999999999</v>
      </c>
      <c r="D200" s="67">
        <f>3.8781 * CHOOSE(CONTROL!$C$22, $C$13, 100%, $E$13)</f>
        <v>3.8780999999999999</v>
      </c>
      <c r="E200" s="68">
        <f>4.6563 * CHOOSE(CONTROL!$C$22, $C$13, 100%, $E$13)</f>
        <v>4.6562999999999999</v>
      </c>
      <c r="F200" s="68">
        <f>4.6563 * CHOOSE(CONTROL!$C$22, $C$13, 100%, $E$13)</f>
        <v>4.6562999999999999</v>
      </c>
      <c r="G200" s="68">
        <f>4.6611 * CHOOSE(CONTROL!$C$22, $C$13, 100%, $E$13)</f>
        <v>4.6611000000000002</v>
      </c>
      <c r="H200" s="68">
        <f>7.2227* CHOOSE(CONTROL!$C$22, $C$13, 100%, $E$13)</f>
        <v>7.2226999999999997</v>
      </c>
      <c r="I200" s="68">
        <f>7.2275 * CHOOSE(CONTROL!$C$22, $C$13, 100%, $E$13)</f>
        <v>7.2275</v>
      </c>
      <c r="J200" s="68">
        <f>4.6563 * CHOOSE(CONTROL!$C$22, $C$13, 100%, $E$13)</f>
        <v>4.6562999999999999</v>
      </c>
      <c r="K200" s="68">
        <f>4.6611 * CHOOSE(CONTROL!$C$22, $C$13, 100%, $E$13)</f>
        <v>4.6611000000000002</v>
      </c>
    </row>
    <row r="201" spans="1:11" ht="15">
      <c r="A201" s="13">
        <v>47239</v>
      </c>
      <c r="B201" s="67">
        <f>3.8743 * CHOOSE(CONTROL!$C$22, $C$13, 100%, $E$13)</f>
        <v>3.8742999999999999</v>
      </c>
      <c r="C201" s="67">
        <f>3.8743 * CHOOSE(CONTROL!$C$22, $C$13, 100%, $E$13)</f>
        <v>3.8742999999999999</v>
      </c>
      <c r="D201" s="67">
        <f>3.8798 * CHOOSE(CONTROL!$C$22, $C$13, 100%, $E$13)</f>
        <v>3.8797999999999999</v>
      </c>
      <c r="E201" s="68">
        <f>4.6797 * CHOOSE(CONTROL!$C$22, $C$13, 100%, $E$13)</f>
        <v>4.6797000000000004</v>
      </c>
      <c r="F201" s="68">
        <f>4.6797 * CHOOSE(CONTROL!$C$22, $C$13, 100%, $E$13)</f>
        <v>4.6797000000000004</v>
      </c>
      <c r="G201" s="68">
        <f>4.6864 * CHOOSE(CONTROL!$C$22, $C$13, 100%, $E$13)</f>
        <v>4.6863999999999999</v>
      </c>
      <c r="H201" s="68">
        <f>7.2378* CHOOSE(CONTROL!$C$22, $C$13, 100%, $E$13)</f>
        <v>7.2378</v>
      </c>
      <c r="I201" s="68">
        <f>7.2445 * CHOOSE(CONTROL!$C$22, $C$13, 100%, $E$13)</f>
        <v>7.2445000000000004</v>
      </c>
      <c r="J201" s="68">
        <f>4.6797 * CHOOSE(CONTROL!$C$22, $C$13, 100%, $E$13)</f>
        <v>4.6797000000000004</v>
      </c>
      <c r="K201" s="68">
        <f>4.6864 * CHOOSE(CONTROL!$C$22, $C$13, 100%, $E$13)</f>
        <v>4.6863999999999999</v>
      </c>
    </row>
    <row r="202" spans="1:11" ht="15">
      <c r="A202" s="13">
        <v>47270</v>
      </c>
      <c r="B202" s="67">
        <f>3.8803 * CHOOSE(CONTROL!$C$22, $C$13, 100%, $E$13)</f>
        <v>3.8803000000000001</v>
      </c>
      <c r="C202" s="67">
        <f>3.8803 * CHOOSE(CONTROL!$C$22, $C$13, 100%, $E$13)</f>
        <v>3.8803000000000001</v>
      </c>
      <c r="D202" s="67">
        <f>3.8858 * CHOOSE(CONTROL!$C$22, $C$13, 100%, $E$13)</f>
        <v>3.8858000000000001</v>
      </c>
      <c r="E202" s="68">
        <f>4.6606 * CHOOSE(CONTROL!$C$22, $C$13, 100%, $E$13)</f>
        <v>4.6605999999999996</v>
      </c>
      <c r="F202" s="68">
        <f>4.6606 * CHOOSE(CONTROL!$C$22, $C$13, 100%, $E$13)</f>
        <v>4.6605999999999996</v>
      </c>
      <c r="G202" s="68">
        <f>4.6673 * CHOOSE(CONTROL!$C$22, $C$13, 100%, $E$13)</f>
        <v>4.6673</v>
      </c>
      <c r="H202" s="68">
        <f>7.2529* CHOOSE(CONTROL!$C$22, $C$13, 100%, $E$13)</f>
        <v>7.2529000000000003</v>
      </c>
      <c r="I202" s="68">
        <f>7.2596 * CHOOSE(CONTROL!$C$22, $C$13, 100%, $E$13)</f>
        <v>7.2595999999999998</v>
      </c>
      <c r="J202" s="68">
        <f>4.6606 * CHOOSE(CONTROL!$C$22, $C$13, 100%, $E$13)</f>
        <v>4.6605999999999996</v>
      </c>
      <c r="K202" s="68">
        <f>4.6673 * CHOOSE(CONTROL!$C$22, $C$13, 100%, $E$13)</f>
        <v>4.6673</v>
      </c>
    </row>
    <row r="203" spans="1:11" ht="15">
      <c r="A203" s="13">
        <v>47300</v>
      </c>
      <c r="B203" s="67">
        <f>3.9341 * CHOOSE(CONTROL!$C$22, $C$13, 100%, $E$13)</f>
        <v>3.9340999999999999</v>
      </c>
      <c r="C203" s="67">
        <f>3.9341 * CHOOSE(CONTROL!$C$22, $C$13, 100%, $E$13)</f>
        <v>3.9340999999999999</v>
      </c>
      <c r="D203" s="67">
        <f>3.9396 * CHOOSE(CONTROL!$C$22, $C$13, 100%, $E$13)</f>
        <v>3.9396</v>
      </c>
      <c r="E203" s="68">
        <f>4.7415 * CHOOSE(CONTROL!$C$22, $C$13, 100%, $E$13)</f>
        <v>4.7415000000000003</v>
      </c>
      <c r="F203" s="68">
        <f>4.7415 * CHOOSE(CONTROL!$C$22, $C$13, 100%, $E$13)</f>
        <v>4.7415000000000003</v>
      </c>
      <c r="G203" s="68">
        <f>4.7482 * CHOOSE(CONTROL!$C$22, $C$13, 100%, $E$13)</f>
        <v>4.7481999999999998</v>
      </c>
      <c r="H203" s="68">
        <f>7.268* CHOOSE(CONTROL!$C$22, $C$13, 100%, $E$13)</f>
        <v>7.2679999999999998</v>
      </c>
      <c r="I203" s="68">
        <f>7.2747 * CHOOSE(CONTROL!$C$22, $C$13, 100%, $E$13)</f>
        <v>7.2747000000000002</v>
      </c>
      <c r="J203" s="68">
        <f>4.7415 * CHOOSE(CONTROL!$C$22, $C$13, 100%, $E$13)</f>
        <v>4.7415000000000003</v>
      </c>
      <c r="K203" s="68">
        <f>4.7482 * CHOOSE(CONTROL!$C$22, $C$13, 100%, $E$13)</f>
        <v>4.7481999999999998</v>
      </c>
    </row>
    <row r="204" spans="1:11" ht="15">
      <c r="A204" s="13">
        <v>47331</v>
      </c>
      <c r="B204" s="67">
        <f>3.9407 * CHOOSE(CONTROL!$C$22, $C$13, 100%, $E$13)</f>
        <v>3.9407000000000001</v>
      </c>
      <c r="C204" s="67">
        <f>3.9407 * CHOOSE(CONTROL!$C$22, $C$13, 100%, $E$13)</f>
        <v>3.9407000000000001</v>
      </c>
      <c r="D204" s="67">
        <f>3.9463 * CHOOSE(CONTROL!$C$22, $C$13, 100%, $E$13)</f>
        <v>3.9462999999999999</v>
      </c>
      <c r="E204" s="68">
        <f>4.676 * CHOOSE(CONTROL!$C$22, $C$13, 100%, $E$13)</f>
        <v>4.6760000000000002</v>
      </c>
      <c r="F204" s="68">
        <f>4.676 * CHOOSE(CONTROL!$C$22, $C$13, 100%, $E$13)</f>
        <v>4.6760000000000002</v>
      </c>
      <c r="G204" s="68">
        <f>4.6828 * CHOOSE(CONTROL!$C$22, $C$13, 100%, $E$13)</f>
        <v>4.6828000000000003</v>
      </c>
      <c r="H204" s="68">
        <f>7.2831* CHOOSE(CONTROL!$C$22, $C$13, 100%, $E$13)</f>
        <v>7.2831000000000001</v>
      </c>
      <c r="I204" s="68">
        <f>7.2899 * CHOOSE(CONTROL!$C$22, $C$13, 100%, $E$13)</f>
        <v>7.2899000000000003</v>
      </c>
      <c r="J204" s="68">
        <f>4.676 * CHOOSE(CONTROL!$C$22, $C$13, 100%, $E$13)</f>
        <v>4.6760000000000002</v>
      </c>
      <c r="K204" s="68">
        <f>4.6828 * CHOOSE(CONTROL!$C$22, $C$13, 100%, $E$13)</f>
        <v>4.6828000000000003</v>
      </c>
    </row>
    <row r="205" spans="1:11" ht="15">
      <c r="A205" s="13">
        <v>47362</v>
      </c>
      <c r="B205" s="67">
        <f>3.9377 * CHOOSE(CONTROL!$C$22, $C$13, 100%, $E$13)</f>
        <v>3.9377</v>
      </c>
      <c r="C205" s="67">
        <f>3.9377 * CHOOSE(CONTROL!$C$22, $C$13, 100%, $E$13)</f>
        <v>3.9377</v>
      </c>
      <c r="D205" s="67">
        <f>3.9432 * CHOOSE(CONTROL!$C$22, $C$13, 100%, $E$13)</f>
        <v>3.9432</v>
      </c>
      <c r="E205" s="68">
        <f>4.6661 * CHOOSE(CONTROL!$C$22, $C$13, 100%, $E$13)</f>
        <v>4.6661000000000001</v>
      </c>
      <c r="F205" s="68">
        <f>4.6661 * CHOOSE(CONTROL!$C$22, $C$13, 100%, $E$13)</f>
        <v>4.6661000000000001</v>
      </c>
      <c r="G205" s="68">
        <f>4.6728 * CHOOSE(CONTROL!$C$22, $C$13, 100%, $E$13)</f>
        <v>4.6727999999999996</v>
      </c>
      <c r="H205" s="68">
        <f>7.2983* CHOOSE(CONTROL!$C$22, $C$13, 100%, $E$13)</f>
        <v>7.2983000000000002</v>
      </c>
      <c r="I205" s="68">
        <f>7.305 * CHOOSE(CONTROL!$C$22, $C$13, 100%, $E$13)</f>
        <v>7.3049999999999997</v>
      </c>
      <c r="J205" s="68">
        <f>4.6661 * CHOOSE(CONTROL!$C$22, $C$13, 100%, $E$13)</f>
        <v>4.6661000000000001</v>
      </c>
      <c r="K205" s="68">
        <f>4.6728 * CHOOSE(CONTROL!$C$22, $C$13, 100%, $E$13)</f>
        <v>4.6727999999999996</v>
      </c>
    </row>
    <row r="206" spans="1:11" ht="15">
      <c r="A206" s="13">
        <v>47392</v>
      </c>
      <c r="B206" s="67">
        <f>3.9325 * CHOOSE(CONTROL!$C$22, $C$13, 100%, $E$13)</f>
        <v>3.9325000000000001</v>
      </c>
      <c r="C206" s="67">
        <f>3.9325 * CHOOSE(CONTROL!$C$22, $C$13, 100%, $E$13)</f>
        <v>3.9325000000000001</v>
      </c>
      <c r="D206" s="67">
        <f>3.9363 * CHOOSE(CONTROL!$C$22, $C$13, 100%, $E$13)</f>
        <v>3.9363000000000001</v>
      </c>
      <c r="E206" s="68">
        <f>4.6838 * CHOOSE(CONTROL!$C$22, $C$13, 100%, $E$13)</f>
        <v>4.6837999999999997</v>
      </c>
      <c r="F206" s="68">
        <f>4.6838 * CHOOSE(CONTROL!$C$22, $C$13, 100%, $E$13)</f>
        <v>4.6837999999999997</v>
      </c>
      <c r="G206" s="68">
        <f>4.6886 * CHOOSE(CONTROL!$C$22, $C$13, 100%, $E$13)</f>
        <v>4.6886000000000001</v>
      </c>
      <c r="H206" s="68">
        <f>7.3135* CHOOSE(CONTROL!$C$22, $C$13, 100%, $E$13)</f>
        <v>7.3135000000000003</v>
      </c>
      <c r="I206" s="68">
        <f>7.3183 * CHOOSE(CONTROL!$C$22, $C$13, 100%, $E$13)</f>
        <v>7.3182999999999998</v>
      </c>
      <c r="J206" s="68">
        <f>4.6838 * CHOOSE(CONTROL!$C$22, $C$13, 100%, $E$13)</f>
        <v>4.6837999999999997</v>
      </c>
      <c r="K206" s="68">
        <f>4.6886 * CHOOSE(CONTROL!$C$22, $C$13, 100%, $E$13)</f>
        <v>4.6886000000000001</v>
      </c>
    </row>
    <row r="207" spans="1:11" ht="15">
      <c r="A207" s="13">
        <v>47423</v>
      </c>
      <c r="B207" s="67">
        <f>3.9355 * CHOOSE(CONTROL!$C$22, $C$13, 100%, $E$13)</f>
        <v>3.9355000000000002</v>
      </c>
      <c r="C207" s="67">
        <f>3.9355 * CHOOSE(CONTROL!$C$22, $C$13, 100%, $E$13)</f>
        <v>3.9355000000000002</v>
      </c>
      <c r="D207" s="67">
        <f>3.9394 * CHOOSE(CONTROL!$C$22, $C$13, 100%, $E$13)</f>
        <v>3.9394</v>
      </c>
      <c r="E207" s="68">
        <f>4.7015 * CHOOSE(CONTROL!$C$22, $C$13, 100%, $E$13)</f>
        <v>4.7015000000000002</v>
      </c>
      <c r="F207" s="68">
        <f>4.7015 * CHOOSE(CONTROL!$C$22, $C$13, 100%, $E$13)</f>
        <v>4.7015000000000002</v>
      </c>
      <c r="G207" s="68">
        <f>4.7063 * CHOOSE(CONTROL!$C$22, $C$13, 100%, $E$13)</f>
        <v>4.7062999999999997</v>
      </c>
      <c r="H207" s="68">
        <f>7.3287* CHOOSE(CONTROL!$C$22, $C$13, 100%, $E$13)</f>
        <v>7.3287000000000004</v>
      </c>
      <c r="I207" s="68">
        <f>7.3335 * CHOOSE(CONTROL!$C$22, $C$13, 100%, $E$13)</f>
        <v>7.3334999999999999</v>
      </c>
      <c r="J207" s="68">
        <f>4.7015 * CHOOSE(CONTROL!$C$22, $C$13, 100%, $E$13)</f>
        <v>4.7015000000000002</v>
      </c>
      <c r="K207" s="68">
        <f>4.7063 * CHOOSE(CONTROL!$C$22, $C$13, 100%, $E$13)</f>
        <v>4.7062999999999997</v>
      </c>
    </row>
    <row r="208" spans="1:11" ht="15">
      <c r="A208" s="13">
        <v>47453</v>
      </c>
      <c r="B208" s="67">
        <f>3.9355 * CHOOSE(CONTROL!$C$22, $C$13, 100%, $E$13)</f>
        <v>3.9355000000000002</v>
      </c>
      <c r="C208" s="67">
        <f>3.9355 * CHOOSE(CONTROL!$C$22, $C$13, 100%, $E$13)</f>
        <v>3.9355000000000002</v>
      </c>
      <c r="D208" s="67">
        <f>3.9394 * CHOOSE(CONTROL!$C$22, $C$13, 100%, $E$13)</f>
        <v>3.9394</v>
      </c>
      <c r="E208" s="68">
        <f>4.6626 * CHOOSE(CONTROL!$C$22, $C$13, 100%, $E$13)</f>
        <v>4.6626000000000003</v>
      </c>
      <c r="F208" s="68">
        <f>4.6626 * CHOOSE(CONTROL!$C$22, $C$13, 100%, $E$13)</f>
        <v>4.6626000000000003</v>
      </c>
      <c r="G208" s="68">
        <f>4.6674 * CHOOSE(CONTROL!$C$22, $C$13, 100%, $E$13)</f>
        <v>4.6673999999999998</v>
      </c>
      <c r="H208" s="68">
        <f>7.344* CHOOSE(CONTROL!$C$22, $C$13, 100%, $E$13)</f>
        <v>7.3440000000000003</v>
      </c>
      <c r="I208" s="68">
        <f>7.3488 * CHOOSE(CONTROL!$C$22, $C$13, 100%, $E$13)</f>
        <v>7.3487999999999998</v>
      </c>
      <c r="J208" s="68">
        <f>4.6626 * CHOOSE(CONTROL!$C$22, $C$13, 100%, $E$13)</f>
        <v>4.6626000000000003</v>
      </c>
      <c r="K208" s="68">
        <f>4.6674 * CHOOSE(CONTROL!$C$22, $C$13, 100%, $E$13)</f>
        <v>4.6673999999999998</v>
      </c>
    </row>
    <row r="209" spans="1:11" ht="15">
      <c r="A209" s="13">
        <v>47484</v>
      </c>
      <c r="B209" s="67">
        <f>3.9695 * CHOOSE(CONTROL!$C$22, $C$13, 100%, $E$13)</f>
        <v>3.9695</v>
      </c>
      <c r="C209" s="67">
        <f>3.9695 * CHOOSE(CONTROL!$C$22, $C$13, 100%, $E$13)</f>
        <v>3.9695</v>
      </c>
      <c r="D209" s="67">
        <f>3.9734 * CHOOSE(CONTROL!$C$22, $C$13, 100%, $E$13)</f>
        <v>3.9733999999999998</v>
      </c>
      <c r="E209" s="68">
        <f>4.7284 * CHOOSE(CONTROL!$C$22, $C$13, 100%, $E$13)</f>
        <v>4.7283999999999997</v>
      </c>
      <c r="F209" s="68">
        <f>4.7284 * CHOOSE(CONTROL!$C$22, $C$13, 100%, $E$13)</f>
        <v>4.7283999999999997</v>
      </c>
      <c r="G209" s="68">
        <f>4.7332 * CHOOSE(CONTROL!$C$22, $C$13, 100%, $E$13)</f>
        <v>4.7332000000000001</v>
      </c>
      <c r="H209" s="68">
        <f>7.3593* CHOOSE(CONTROL!$C$22, $C$13, 100%, $E$13)</f>
        <v>7.3593000000000002</v>
      </c>
      <c r="I209" s="68">
        <f>7.3641 * CHOOSE(CONTROL!$C$22, $C$13, 100%, $E$13)</f>
        <v>7.3640999999999996</v>
      </c>
      <c r="J209" s="68">
        <f>4.7284 * CHOOSE(CONTROL!$C$22, $C$13, 100%, $E$13)</f>
        <v>4.7283999999999997</v>
      </c>
      <c r="K209" s="68">
        <f>4.7332 * CHOOSE(CONTROL!$C$22, $C$13, 100%, $E$13)</f>
        <v>4.7332000000000001</v>
      </c>
    </row>
    <row r="210" spans="1:11" ht="15">
      <c r="A210" s="13">
        <v>47515</v>
      </c>
      <c r="B210" s="67">
        <f>3.9664 * CHOOSE(CONTROL!$C$22, $C$13, 100%, $E$13)</f>
        <v>3.9664000000000001</v>
      </c>
      <c r="C210" s="67">
        <f>3.9664 * CHOOSE(CONTROL!$C$22, $C$13, 100%, $E$13)</f>
        <v>3.9664000000000001</v>
      </c>
      <c r="D210" s="67">
        <f>3.9703 * CHOOSE(CONTROL!$C$22, $C$13, 100%, $E$13)</f>
        <v>3.9702999999999999</v>
      </c>
      <c r="E210" s="68">
        <f>4.6508 * CHOOSE(CONTROL!$C$22, $C$13, 100%, $E$13)</f>
        <v>4.6508000000000003</v>
      </c>
      <c r="F210" s="68">
        <f>4.6508 * CHOOSE(CONTROL!$C$22, $C$13, 100%, $E$13)</f>
        <v>4.6508000000000003</v>
      </c>
      <c r="G210" s="68">
        <f>4.6556 * CHOOSE(CONTROL!$C$22, $C$13, 100%, $E$13)</f>
        <v>4.6555999999999997</v>
      </c>
      <c r="H210" s="68">
        <f>7.3746* CHOOSE(CONTROL!$C$22, $C$13, 100%, $E$13)</f>
        <v>7.3746</v>
      </c>
      <c r="I210" s="68">
        <f>7.3794 * CHOOSE(CONTROL!$C$22, $C$13, 100%, $E$13)</f>
        <v>7.3794000000000004</v>
      </c>
      <c r="J210" s="68">
        <f>4.6508 * CHOOSE(CONTROL!$C$22, $C$13, 100%, $E$13)</f>
        <v>4.6508000000000003</v>
      </c>
      <c r="K210" s="68">
        <f>4.6556 * CHOOSE(CONTROL!$C$22, $C$13, 100%, $E$13)</f>
        <v>4.6555999999999997</v>
      </c>
    </row>
    <row r="211" spans="1:11" ht="15">
      <c r="A211" s="13">
        <v>47543</v>
      </c>
      <c r="B211" s="67">
        <f>3.9634 * CHOOSE(CONTROL!$C$22, $C$13, 100%, $E$13)</f>
        <v>3.9634</v>
      </c>
      <c r="C211" s="67">
        <f>3.9634 * CHOOSE(CONTROL!$C$22, $C$13, 100%, $E$13)</f>
        <v>3.9634</v>
      </c>
      <c r="D211" s="67">
        <f>3.9673 * CHOOSE(CONTROL!$C$22, $C$13, 100%, $E$13)</f>
        <v>3.9672999999999998</v>
      </c>
      <c r="E211" s="68">
        <f>4.7082 * CHOOSE(CONTROL!$C$22, $C$13, 100%, $E$13)</f>
        <v>4.7081999999999997</v>
      </c>
      <c r="F211" s="68">
        <f>4.7082 * CHOOSE(CONTROL!$C$22, $C$13, 100%, $E$13)</f>
        <v>4.7081999999999997</v>
      </c>
      <c r="G211" s="68">
        <f>4.713 * CHOOSE(CONTROL!$C$22, $C$13, 100%, $E$13)</f>
        <v>4.7130000000000001</v>
      </c>
      <c r="H211" s="68">
        <f>7.39* CHOOSE(CONTROL!$C$22, $C$13, 100%, $E$13)</f>
        <v>7.39</v>
      </c>
      <c r="I211" s="68">
        <f>7.3948 * CHOOSE(CONTROL!$C$22, $C$13, 100%, $E$13)</f>
        <v>7.3948</v>
      </c>
      <c r="J211" s="68">
        <f>4.7082 * CHOOSE(CONTROL!$C$22, $C$13, 100%, $E$13)</f>
        <v>4.7081999999999997</v>
      </c>
      <c r="K211" s="68">
        <f>4.713 * CHOOSE(CONTROL!$C$22, $C$13, 100%, $E$13)</f>
        <v>4.7130000000000001</v>
      </c>
    </row>
    <row r="212" spans="1:11" ht="15">
      <c r="A212" s="13">
        <v>47574</v>
      </c>
      <c r="B212" s="67">
        <f>3.961 * CHOOSE(CONTROL!$C$22, $C$13, 100%, $E$13)</f>
        <v>3.9609999999999999</v>
      </c>
      <c r="C212" s="67">
        <f>3.961 * CHOOSE(CONTROL!$C$22, $C$13, 100%, $E$13)</f>
        <v>3.9609999999999999</v>
      </c>
      <c r="D212" s="67">
        <f>3.9649 * CHOOSE(CONTROL!$C$22, $C$13, 100%, $E$13)</f>
        <v>3.9649000000000001</v>
      </c>
      <c r="E212" s="68">
        <f>4.7679 * CHOOSE(CONTROL!$C$22, $C$13, 100%, $E$13)</f>
        <v>4.7679</v>
      </c>
      <c r="F212" s="68">
        <f>4.7679 * CHOOSE(CONTROL!$C$22, $C$13, 100%, $E$13)</f>
        <v>4.7679</v>
      </c>
      <c r="G212" s="68">
        <f>4.7726 * CHOOSE(CONTROL!$C$22, $C$13, 100%, $E$13)</f>
        <v>4.7725999999999997</v>
      </c>
      <c r="H212" s="68">
        <f>7.4054* CHOOSE(CONTROL!$C$22, $C$13, 100%, $E$13)</f>
        <v>7.4054000000000002</v>
      </c>
      <c r="I212" s="68">
        <f>7.4102 * CHOOSE(CONTROL!$C$22, $C$13, 100%, $E$13)</f>
        <v>7.4101999999999997</v>
      </c>
      <c r="J212" s="68">
        <f>4.7679 * CHOOSE(CONTROL!$C$22, $C$13, 100%, $E$13)</f>
        <v>4.7679</v>
      </c>
      <c r="K212" s="68">
        <f>4.7726 * CHOOSE(CONTROL!$C$22, $C$13, 100%, $E$13)</f>
        <v>4.7725999999999997</v>
      </c>
    </row>
    <row r="213" spans="1:11" ht="15">
      <c r="A213" s="13">
        <v>47604</v>
      </c>
      <c r="B213" s="67">
        <f>3.961 * CHOOSE(CONTROL!$C$22, $C$13, 100%, $E$13)</f>
        <v>3.9609999999999999</v>
      </c>
      <c r="C213" s="67">
        <f>3.961 * CHOOSE(CONTROL!$C$22, $C$13, 100%, $E$13)</f>
        <v>3.9609999999999999</v>
      </c>
      <c r="D213" s="67">
        <f>3.9665 * CHOOSE(CONTROL!$C$22, $C$13, 100%, $E$13)</f>
        <v>3.9664999999999999</v>
      </c>
      <c r="E213" s="68">
        <f>4.7918 * CHOOSE(CONTROL!$C$22, $C$13, 100%, $E$13)</f>
        <v>4.7918000000000003</v>
      </c>
      <c r="F213" s="68">
        <f>4.7918 * CHOOSE(CONTROL!$C$22, $C$13, 100%, $E$13)</f>
        <v>4.7918000000000003</v>
      </c>
      <c r="G213" s="68">
        <f>4.7986 * CHOOSE(CONTROL!$C$22, $C$13, 100%, $E$13)</f>
        <v>4.7986000000000004</v>
      </c>
      <c r="H213" s="68">
        <f>7.4208* CHOOSE(CONTROL!$C$22, $C$13, 100%, $E$13)</f>
        <v>7.4207999999999998</v>
      </c>
      <c r="I213" s="68">
        <f>7.4276 * CHOOSE(CONTROL!$C$22, $C$13, 100%, $E$13)</f>
        <v>7.4276</v>
      </c>
      <c r="J213" s="68">
        <f>4.7918 * CHOOSE(CONTROL!$C$22, $C$13, 100%, $E$13)</f>
        <v>4.7918000000000003</v>
      </c>
      <c r="K213" s="68">
        <f>4.7986 * CHOOSE(CONTROL!$C$22, $C$13, 100%, $E$13)</f>
        <v>4.7986000000000004</v>
      </c>
    </row>
    <row r="214" spans="1:11" ht="15">
      <c r="A214" s="13">
        <v>47635</v>
      </c>
      <c r="B214" s="67">
        <f>3.9671 * CHOOSE(CONTROL!$C$22, $C$13, 100%, $E$13)</f>
        <v>3.9670999999999998</v>
      </c>
      <c r="C214" s="67">
        <f>3.9671 * CHOOSE(CONTROL!$C$22, $C$13, 100%, $E$13)</f>
        <v>3.9670999999999998</v>
      </c>
      <c r="D214" s="67">
        <f>3.9726 * CHOOSE(CONTROL!$C$22, $C$13, 100%, $E$13)</f>
        <v>3.9725999999999999</v>
      </c>
      <c r="E214" s="68">
        <f>4.7721 * CHOOSE(CONTROL!$C$22, $C$13, 100%, $E$13)</f>
        <v>4.7721</v>
      </c>
      <c r="F214" s="68">
        <f>4.7721 * CHOOSE(CONTROL!$C$22, $C$13, 100%, $E$13)</f>
        <v>4.7721</v>
      </c>
      <c r="G214" s="68">
        <f>4.7789 * CHOOSE(CONTROL!$C$22, $C$13, 100%, $E$13)</f>
        <v>4.7789000000000001</v>
      </c>
      <c r="H214" s="68">
        <f>7.4363* CHOOSE(CONTROL!$C$22, $C$13, 100%, $E$13)</f>
        <v>7.4363000000000001</v>
      </c>
      <c r="I214" s="68">
        <f>7.443 * CHOOSE(CONTROL!$C$22, $C$13, 100%, $E$13)</f>
        <v>7.4429999999999996</v>
      </c>
      <c r="J214" s="68">
        <f>4.7721 * CHOOSE(CONTROL!$C$22, $C$13, 100%, $E$13)</f>
        <v>4.7721</v>
      </c>
      <c r="K214" s="68">
        <f>4.7789 * CHOOSE(CONTROL!$C$22, $C$13, 100%, $E$13)</f>
        <v>4.7789000000000001</v>
      </c>
    </row>
    <row r="215" spans="1:11" ht="15">
      <c r="A215" s="13">
        <v>47665</v>
      </c>
      <c r="B215" s="67">
        <f>4.0298 * CHOOSE(CONTROL!$C$22, $C$13, 100%, $E$13)</f>
        <v>4.0297999999999998</v>
      </c>
      <c r="C215" s="67">
        <f>4.0298 * CHOOSE(CONTROL!$C$22, $C$13, 100%, $E$13)</f>
        <v>4.0297999999999998</v>
      </c>
      <c r="D215" s="67">
        <f>4.0353 * CHOOSE(CONTROL!$C$22, $C$13, 100%, $E$13)</f>
        <v>4.0353000000000003</v>
      </c>
      <c r="E215" s="68">
        <f>4.8562 * CHOOSE(CONTROL!$C$22, $C$13, 100%, $E$13)</f>
        <v>4.8562000000000003</v>
      </c>
      <c r="F215" s="68">
        <f>4.8562 * CHOOSE(CONTROL!$C$22, $C$13, 100%, $E$13)</f>
        <v>4.8562000000000003</v>
      </c>
      <c r="G215" s="68">
        <f>4.8629 * CHOOSE(CONTROL!$C$22, $C$13, 100%, $E$13)</f>
        <v>4.8628999999999998</v>
      </c>
      <c r="H215" s="68">
        <f>7.4518* CHOOSE(CONTROL!$C$22, $C$13, 100%, $E$13)</f>
        <v>7.4518000000000004</v>
      </c>
      <c r="I215" s="68">
        <f>7.4585 * CHOOSE(CONTROL!$C$22, $C$13, 100%, $E$13)</f>
        <v>7.4584999999999999</v>
      </c>
      <c r="J215" s="68">
        <f>4.8562 * CHOOSE(CONTROL!$C$22, $C$13, 100%, $E$13)</f>
        <v>4.8562000000000003</v>
      </c>
      <c r="K215" s="68">
        <f>4.8629 * CHOOSE(CONTROL!$C$22, $C$13, 100%, $E$13)</f>
        <v>4.8628999999999998</v>
      </c>
    </row>
    <row r="216" spans="1:11" ht="15">
      <c r="A216" s="13">
        <v>47696</v>
      </c>
      <c r="B216" s="67">
        <f>4.0365 * CHOOSE(CONTROL!$C$22, $C$13, 100%, $E$13)</f>
        <v>4.0365000000000002</v>
      </c>
      <c r="C216" s="67">
        <f>4.0365 * CHOOSE(CONTROL!$C$22, $C$13, 100%, $E$13)</f>
        <v>4.0365000000000002</v>
      </c>
      <c r="D216" s="67">
        <f>4.042 * CHOOSE(CONTROL!$C$22, $C$13, 100%, $E$13)</f>
        <v>4.0419999999999998</v>
      </c>
      <c r="E216" s="68">
        <f>4.7889 * CHOOSE(CONTROL!$C$22, $C$13, 100%, $E$13)</f>
        <v>4.7888999999999999</v>
      </c>
      <c r="F216" s="68">
        <f>4.7889 * CHOOSE(CONTROL!$C$22, $C$13, 100%, $E$13)</f>
        <v>4.7888999999999999</v>
      </c>
      <c r="G216" s="68">
        <f>4.7957 * CHOOSE(CONTROL!$C$22, $C$13, 100%, $E$13)</f>
        <v>4.7957000000000001</v>
      </c>
      <c r="H216" s="68">
        <f>7.4673* CHOOSE(CONTROL!$C$22, $C$13, 100%, $E$13)</f>
        <v>7.4672999999999998</v>
      </c>
      <c r="I216" s="68">
        <f>7.474 * CHOOSE(CONTROL!$C$22, $C$13, 100%, $E$13)</f>
        <v>7.4740000000000002</v>
      </c>
      <c r="J216" s="68">
        <f>4.7889 * CHOOSE(CONTROL!$C$22, $C$13, 100%, $E$13)</f>
        <v>4.7888999999999999</v>
      </c>
      <c r="K216" s="68">
        <f>4.7957 * CHOOSE(CONTROL!$C$22, $C$13, 100%, $E$13)</f>
        <v>4.7957000000000001</v>
      </c>
    </row>
    <row r="217" spans="1:11" ht="15">
      <c r="A217" s="13">
        <v>47727</v>
      </c>
      <c r="B217" s="67">
        <f>4.0334 * CHOOSE(CONTROL!$C$22, $C$13, 100%, $E$13)</f>
        <v>4.0334000000000003</v>
      </c>
      <c r="C217" s="67">
        <f>4.0334 * CHOOSE(CONTROL!$C$22, $C$13, 100%, $E$13)</f>
        <v>4.0334000000000003</v>
      </c>
      <c r="D217" s="67">
        <f>4.0389 * CHOOSE(CONTROL!$C$22, $C$13, 100%, $E$13)</f>
        <v>4.0388999999999999</v>
      </c>
      <c r="E217" s="68">
        <f>4.7788 * CHOOSE(CONTROL!$C$22, $C$13, 100%, $E$13)</f>
        <v>4.7788000000000004</v>
      </c>
      <c r="F217" s="68">
        <f>4.7788 * CHOOSE(CONTROL!$C$22, $C$13, 100%, $E$13)</f>
        <v>4.7788000000000004</v>
      </c>
      <c r="G217" s="68">
        <f>4.7856 * CHOOSE(CONTROL!$C$22, $C$13, 100%, $E$13)</f>
        <v>4.7855999999999996</v>
      </c>
      <c r="H217" s="68">
        <f>7.4829* CHOOSE(CONTROL!$C$22, $C$13, 100%, $E$13)</f>
        <v>7.4828999999999999</v>
      </c>
      <c r="I217" s="68">
        <f>7.4896 * CHOOSE(CONTROL!$C$22, $C$13, 100%, $E$13)</f>
        <v>7.4896000000000003</v>
      </c>
      <c r="J217" s="68">
        <f>4.7788 * CHOOSE(CONTROL!$C$22, $C$13, 100%, $E$13)</f>
        <v>4.7788000000000004</v>
      </c>
      <c r="K217" s="68">
        <f>4.7856 * CHOOSE(CONTROL!$C$22, $C$13, 100%, $E$13)</f>
        <v>4.7855999999999996</v>
      </c>
    </row>
    <row r="218" spans="1:11" ht="15">
      <c r="A218" s="13">
        <v>47757</v>
      </c>
      <c r="B218" s="67">
        <f>4.0286 * CHOOSE(CONTROL!$C$22, $C$13, 100%, $E$13)</f>
        <v>4.0286</v>
      </c>
      <c r="C218" s="67">
        <f>4.0286 * CHOOSE(CONTROL!$C$22, $C$13, 100%, $E$13)</f>
        <v>4.0286</v>
      </c>
      <c r="D218" s="67">
        <f>4.0324 * CHOOSE(CONTROL!$C$22, $C$13, 100%, $E$13)</f>
        <v>4.0324</v>
      </c>
      <c r="E218" s="68">
        <f>4.7974 * CHOOSE(CONTROL!$C$22, $C$13, 100%, $E$13)</f>
        <v>4.7973999999999997</v>
      </c>
      <c r="F218" s="68">
        <f>4.7974 * CHOOSE(CONTROL!$C$22, $C$13, 100%, $E$13)</f>
        <v>4.7973999999999997</v>
      </c>
      <c r="G218" s="68">
        <f>4.8021 * CHOOSE(CONTROL!$C$22, $C$13, 100%, $E$13)</f>
        <v>4.8021000000000003</v>
      </c>
      <c r="H218" s="68">
        <f>7.4985* CHOOSE(CONTROL!$C$22, $C$13, 100%, $E$13)</f>
        <v>7.4984999999999999</v>
      </c>
      <c r="I218" s="68">
        <f>7.5032 * CHOOSE(CONTROL!$C$22, $C$13, 100%, $E$13)</f>
        <v>7.5031999999999996</v>
      </c>
      <c r="J218" s="68">
        <f>4.7974 * CHOOSE(CONTROL!$C$22, $C$13, 100%, $E$13)</f>
        <v>4.7973999999999997</v>
      </c>
      <c r="K218" s="68">
        <f>4.8021 * CHOOSE(CONTROL!$C$22, $C$13, 100%, $E$13)</f>
        <v>4.8021000000000003</v>
      </c>
    </row>
    <row r="219" spans="1:11" ht="15">
      <c r="A219" s="13">
        <v>47788</v>
      </c>
      <c r="B219" s="67">
        <f>4.0316 * CHOOSE(CONTROL!$C$22, $C$13, 100%, $E$13)</f>
        <v>4.0316000000000001</v>
      </c>
      <c r="C219" s="67">
        <f>4.0316 * CHOOSE(CONTROL!$C$22, $C$13, 100%, $E$13)</f>
        <v>4.0316000000000001</v>
      </c>
      <c r="D219" s="67">
        <f>4.0355 * CHOOSE(CONTROL!$C$22, $C$13, 100%, $E$13)</f>
        <v>4.0354999999999999</v>
      </c>
      <c r="E219" s="68">
        <f>4.8155 * CHOOSE(CONTROL!$C$22, $C$13, 100%, $E$13)</f>
        <v>4.8155000000000001</v>
      </c>
      <c r="F219" s="68">
        <f>4.8155 * CHOOSE(CONTROL!$C$22, $C$13, 100%, $E$13)</f>
        <v>4.8155000000000001</v>
      </c>
      <c r="G219" s="68">
        <f>4.8202 * CHOOSE(CONTROL!$C$22, $C$13, 100%, $E$13)</f>
        <v>4.8201999999999998</v>
      </c>
      <c r="H219" s="68">
        <f>7.5141* CHOOSE(CONTROL!$C$22, $C$13, 100%, $E$13)</f>
        <v>7.5141</v>
      </c>
      <c r="I219" s="68">
        <f>7.5188 * CHOOSE(CONTROL!$C$22, $C$13, 100%, $E$13)</f>
        <v>7.5187999999999997</v>
      </c>
      <c r="J219" s="68">
        <f>4.8155 * CHOOSE(CONTROL!$C$22, $C$13, 100%, $E$13)</f>
        <v>4.8155000000000001</v>
      </c>
      <c r="K219" s="68">
        <f>4.8202 * CHOOSE(CONTROL!$C$22, $C$13, 100%, $E$13)</f>
        <v>4.8201999999999998</v>
      </c>
    </row>
    <row r="220" spans="1:11" ht="15">
      <c r="A220" s="13">
        <v>47818</v>
      </c>
      <c r="B220" s="67">
        <f>4.0316 * CHOOSE(CONTROL!$C$22, $C$13, 100%, $E$13)</f>
        <v>4.0316000000000001</v>
      </c>
      <c r="C220" s="67">
        <f>4.0316 * CHOOSE(CONTROL!$C$22, $C$13, 100%, $E$13)</f>
        <v>4.0316000000000001</v>
      </c>
      <c r="D220" s="67">
        <f>4.0355 * CHOOSE(CONTROL!$C$22, $C$13, 100%, $E$13)</f>
        <v>4.0354999999999999</v>
      </c>
      <c r="E220" s="68">
        <f>4.7755 * CHOOSE(CONTROL!$C$22, $C$13, 100%, $E$13)</f>
        <v>4.7755000000000001</v>
      </c>
      <c r="F220" s="68">
        <f>4.7755 * CHOOSE(CONTROL!$C$22, $C$13, 100%, $E$13)</f>
        <v>4.7755000000000001</v>
      </c>
      <c r="G220" s="68">
        <f>4.7803 * CHOOSE(CONTROL!$C$22, $C$13, 100%, $E$13)</f>
        <v>4.7803000000000004</v>
      </c>
      <c r="H220" s="68">
        <f>7.5297* CHOOSE(CONTROL!$C$22, $C$13, 100%, $E$13)</f>
        <v>7.5297000000000001</v>
      </c>
      <c r="I220" s="68">
        <f>7.5345 * CHOOSE(CONTROL!$C$22, $C$13, 100%, $E$13)</f>
        <v>7.5345000000000004</v>
      </c>
      <c r="J220" s="68">
        <f>4.7755 * CHOOSE(CONTROL!$C$22, $C$13, 100%, $E$13)</f>
        <v>4.7755000000000001</v>
      </c>
      <c r="K220" s="68">
        <f>4.7803 * CHOOSE(CONTROL!$C$22, $C$13, 100%, $E$13)</f>
        <v>4.7803000000000004</v>
      </c>
    </row>
    <row r="221" spans="1:11" ht="15">
      <c r="A221" s="13">
        <v>47849</v>
      </c>
      <c r="B221" s="67">
        <f>4.065 * CHOOSE(CONTROL!$C$22, $C$13, 100%, $E$13)</f>
        <v>4.0650000000000004</v>
      </c>
      <c r="C221" s="67">
        <f>4.065 * CHOOSE(CONTROL!$C$22, $C$13, 100%, $E$13)</f>
        <v>4.0650000000000004</v>
      </c>
      <c r="D221" s="67">
        <f>4.0689 * CHOOSE(CONTROL!$C$22, $C$13, 100%, $E$13)</f>
        <v>4.0689000000000002</v>
      </c>
      <c r="E221" s="68">
        <f>4.8568 * CHOOSE(CONTROL!$C$22, $C$13, 100%, $E$13)</f>
        <v>4.8567999999999998</v>
      </c>
      <c r="F221" s="68">
        <f>4.8568 * CHOOSE(CONTROL!$C$22, $C$13, 100%, $E$13)</f>
        <v>4.8567999999999998</v>
      </c>
      <c r="G221" s="68">
        <f>4.8616 * CHOOSE(CONTROL!$C$22, $C$13, 100%, $E$13)</f>
        <v>4.8616000000000001</v>
      </c>
      <c r="H221" s="68">
        <f>7.5454* CHOOSE(CONTROL!$C$22, $C$13, 100%, $E$13)</f>
        <v>7.5453999999999999</v>
      </c>
      <c r="I221" s="68">
        <f>7.5502 * CHOOSE(CONTROL!$C$22, $C$13, 100%, $E$13)</f>
        <v>7.5502000000000002</v>
      </c>
      <c r="J221" s="68">
        <f>4.8568 * CHOOSE(CONTROL!$C$22, $C$13, 100%, $E$13)</f>
        <v>4.8567999999999998</v>
      </c>
      <c r="K221" s="68">
        <f>4.8616 * CHOOSE(CONTROL!$C$22, $C$13, 100%, $E$13)</f>
        <v>4.8616000000000001</v>
      </c>
    </row>
    <row r="222" spans="1:11" ht="15">
      <c r="A222" s="13">
        <v>47880</v>
      </c>
      <c r="B222" s="67">
        <f>4.062 * CHOOSE(CONTROL!$C$22, $C$13, 100%, $E$13)</f>
        <v>4.0620000000000003</v>
      </c>
      <c r="C222" s="67">
        <f>4.062 * CHOOSE(CONTROL!$C$22, $C$13, 100%, $E$13)</f>
        <v>4.0620000000000003</v>
      </c>
      <c r="D222" s="67">
        <f>4.0659 * CHOOSE(CONTROL!$C$22, $C$13, 100%, $E$13)</f>
        <v>4.0659000000000001</v>
      </c>
      <c r="E222" s="68">
        <f>4.7772 * CHOOSE(CONTROL!$C$22, $C$13, 100%, $E$13)</f>
        <v>4.7771999999999997</v>
      </c>
      <c r="F222" s="68">
        <f>4.7772 * CHOOSE(CONTROL!$C$22, $C$13, 100%, $E$13)</f>
        <v>4.7771999999999997</v>
      </c>
      <c r="G222" s="68">
        <f>4.782 * CHOOSE(CONTROL!$C$22, $C$13, 100%, $E$13)</f>
        <v>4.782</v>
      </c>
      <c r="H222" s="68">
        <f>7.5611* CHOOSE(CONTROL!$C$22, $C$13, 100%, $E$13)</f>
        <v>7.5610999999999997</v>
      </c>
      <c r="I222" s="68">
        <f>7.5659 * CHOOSE(CONTROL!$C$22, $C$13, 100%, $E$13)</f>
        <v>7.5659000000000001</v>
      </c>
      <c r="J222" s="68">
        <f>4.7772 * CHOOSE(CONTROL!$C$22, $C$13, 100%, $E$13)</f>
        <v>4.7771999999999997</v>
      </c>
      <c r="K222" s="68">
        <f>4.782 * CHOOSE(CONTROL!$C$22, $C$13, 100%, $E$13)</f>
        <v>4.782</v>
      </c>
    </row>
    <row r="223" spans="1:11" ht="15">
      <c r="A223" s="13">
        <v>47908</v>
      </c>
      <c r="B223" s="67">
        <f>4.059 * CHOOSE(CONTROL!$C$22, $C$13, 100%, $E$13)</f>
        <v>4.0590000000000002</v>
      </c>
      <c r="C223" s="67">
        <f>4.059 * CHOOSE(CONTROL!$C$22, $C$13, 100%, $E$13)</f>
        <v>4.0590000000000002</v>
      </c>
      <c r="D223" s="67">
        <f>4.0628 * CHOOSE(CONTROL!$C$22, $C$13, 100%, $E$13)</f>
        <v>4.0628000000000002</v>
      </c>
      <c r="E223" s="68">
        <f>4.8362 * CHOOSE(CONTROL!$C$22, $C$13, 100%, $E$13)</f>
        <v>4.8361999999999998</v>
      </c>
      <c r="F223" s="68">
        <f>4.8362 * CHOOSE(CONTROL!$C$22, $C$13, 100%, $E$13)</f>
        <v>4.8361999999999998</v>
      </c>
      <c r="G223" s="68">
        <f>4.8409 * CHOOSE(CONTROL!$C$22, $C$13, 100%, $E$13)</f>
        <v>4.8409000000000004</v>
      </c>
      <c r="H223" s="68">
        <f>7.5769* CHOOSE(CONTROL!$C$22, $C$13, 100%, $E$13)</f>
        <v>7.5769000000000002</v>
      </c>
      <c r="I223" s="68">
        <f>7.5817 * CHOOSE(CONTROL!$C$22, $C$13, 100%, $E$13)</f>
        <v>7.5816999999999997</v>
      </c>
      <c r="J223" s="68">
        <f>4.8362 * CHOOSE(CONTROL!$C$22, $C$13, 100%, $E$13)</f>
        <v>4.8361999999999998</v>
      </c>
      <c r="K223" s="68">
        <f>4.8409 * CHOOSE(CONTROL!$C$22, $C$13, 100%, $E$13)</f>
        <v>4.8409000000000004</v>
      </c>
    </row>
    <row r="224" spans="1:11" ht="15">
      <c r="A224" s="13">
        <v>47939</v>
      </c>
      <c r="B224" s="67">
        <f>4.0567 * CHOOSE(CONTROL!$C$22, $C$13, 100%, $E$13)</f>
        <v>4.0567000000000002</v>
      </c>
      <c r="C224" s="67">
        <f>4.0567 * CHOOSE(CONTROL!$C$22, $C$13, 100%, $E$13)</f>
        <v>4.0567000000000002</v>
      </c>
      <c r="D224" s="67">
        <f>4.0605 * CHOOSE(CONTROL!$C$22, $C$13, 100%, $E$13)</f>
        <v>4.0605000000000002</v>
      </c>
      <c r="E224" s="68">
        <f>4.8975 * CHOOSE(CONTROL!$C$22, $C$13, 100%, $E$13)</f>
        <v>4.8975</v>
      </c>
      <c r="F224" s="68">
        <f>4.8975 * CHOOSE(CONTROL!$C$22, $C$13, 100%, $E$13)</f>
        <v>4.8975</v>
      </c>
      <c r="G224" s="68">
        <f>4.9022 * CHOOSE(CONTROL!$C$22, $C$13, 100%, $E$13)</f>
        <v>4.9021999999999997</v>
      </c>
      <c r="H224" s="68">
        <f>7.5927* CHOOSE(CONTROL!$C$22, $C$13, 100%, $E$13)</f>
        <v>7.5926999999999998</v>
      </c>
      <c r="I224" s="68">
        <f>7.5974 * CHOOSE(CONTROL!$C$22, $C$13, 100%, $E$13)</f>
        <v>7.5974000000000004</v>
      </c>
      <c r="J224" s="68">
        <f>4.8975 * CHOOSE(CONTROL!$C$22, $C$13, 100%, $E$13)</f>
        <v>4.8975</v>
      </c>
      <c r="K224" s="68">
        <f>4.9022 * CHOOSE(CONTROL!$C$22, $C$13, 100%, $E$13)</f>
        <v>4.9021999999999997</v>
      </c>
    </row>
    <row r="225" spans="1:11" ht="15">
      <c r="A225" s="13">
        <v>47969</v>
      </c>
      <c r="B225" s="67">
        <f>4.0567 * CHOOSE(CONTROL!$C$22, $C$13, 100%, $E$13)</f>
        <v>4.0567000000000002</v>
      </c>
      <c r="C225" s="67">
        <f>4.0567 * CHOOSE(CONTROL!$C$22, $C$13, 100%, $E$13)</f>
        <v>4.0567000000000002</v>
      </c>
      <c r="D225" s="67">
        <f>4.0622 * CHOOSE(CONTROL!$C$22, $C$13, 100%, $E$13)</f>
        <v>4.0621999999999998</v>
      </c>
      <c r="E225" s="68">
        <f>4.9221 * CHOOSE(CONTROL!$C$22, $C$13, 100%, $E$13)</f>
        <v>4.9221000000000004</v>
      </c>
      <c r="F225" s="68">
        <f>4.9221 * CHOOSE(CONTROL!$C$22, $C$13, 100%, $E$13)</f>
        <v>4.9221000000000004</v>
      </c>
      <c r="G225" s="68">
        <f>4.9288 * CHOOSE(CONTROL!$C$22, $C$13, 100%, $E$13)</f>
        <v>4.9287999999999998</v>
      </c>
      <c r="H225" s="68">
        <f>7.6085* CHOOSE(CONTROL!$C$22, $C$13, 100%, $E$13)</f>
        <v>7.6085000000000003</v>
      </c>
      <c r="I225" s="68">
        <f>7.6152 * CHOOSE(CONTROL!$C$22, $C$13, 100%, $E$13)</f>
        <v>7.6151999999999997</v>
      </c>
      <c r="J225" s="68">
        <f>4.9221 * CHOOSE(CONTROL!$C$22, $C$13, 100%, $E$13)</f>
        <v>4.9221000000000004</v>
      </c>
      <c r="K225" s="68">
        <f>4.9288 * CHOOSE(CONTROL!$C$22, $C$13, 100%, $E$13)</f>
        <v>4.9287999999999998</v>
      </c>
    </row>
    <row r="226" spans="1:11" ht="15">
      <c r="A226" s="13">
        <v>48000</v>
      </c>
      <c r="B226" s="67">
        <f>4.0627 * CHOOSE(CONTROL!$C$22, $C$13, 100%, $E$13)</f>
        <v>4.0627000000000004</v>
      </c>
      <c r="C226" s="67">
        <f>4.0627 * CHOOSE(CONTROL!$C$22, $C$13, 100%, $E$13)</f>
        <v>4.0627000000000004</v>
      </c>
      <c r="D226" s="67">
        <f>4.0682 * CHOOSE(CONTROL!$C$22, $C$13, 100%, $E$13)</f>
        <v>4.0682</v>
      </c>
      <c r="E226" s="68">
        <f>4.9017 * CHOOSE(CONTROL!$C$22, $C$13, 100%, $E$13)</f>
        <v>4.9016999999999999</v>
      </c>
      <c r="F226" s="68">
        <f>4.9017 * CHOOSE(CONTROL!$C$22, $C$13, 100%, $E$13)</f>
        <v>4.9016999999999999</v>
      </c>
      <c r="G226" s="68">
        <f>4.9085 * CHOOSE(CONTROL!$C$22, $C$13, 100%, $E$13)</f>
        <v>4.9085000000000001</v>
      </c>
      <c r="H226" s="68">
        <f>7.6243* CHOOSE(CONTROL!$C$22, $C$13, 100%, $E$13)</f>
        <v>7.6242999999999999</v>
      </c>
      <c r="I226" s="68">
        <f>7.6311 * CHOOSE(CONTROL!$C$22, $C$13, 100%, $E$13)</f>
        <v>7.6311</v>
      </c>
      <c r="J226" s="68">
        <f>4.9017 * CHOOSE(CONTROL!$C$22, $C$13, 100%, $E$13)</f>
        <v>4.9016999999999999</v>
      </c>
      <c r="K226" s="68">
        <f>4.9085 * CHOOSE(CONTROL!$C$22, $C$13, 100%, $E$13)</f>
        <v>4.9085000000000001</v>
      </c>
    </row>
    <row r="227" spans="1:11" ht="15">
      <c r="A227" s="13">
        <v>48030</v>
      </c>
      <c r="B227" s="67">
        <f>4.1241 * CHOOSE(CONTROL!$C$22, $C$13, 100%, $E$13)</f>
        <v>4.1241000000000003</v>
      </c>
      <c r="C227" s="67">
        <f>4.1241 * CHOOSE(CONTROL!$C$22, $C$13, 100%, $E$13)</f>
        <v>4.1241000000000003</v>
      </c>
      <c r="D227" s="67">
        <f>4.1296 * CHOOSE(CONTROL!$C$22, $C$13, 100%, $E$13)</f>
        <v>4.1295999999999999</v>
      </c>
      <c r="E227" s="68">
        <f>5.0209 * CHOOSE(CONTROL!$C$22, $C$13, 100%, $E$13)</f>
        <v>5.0209000000000001</v>
      </c>
      <c r="F227" s="68">
        <f>5.0209 * CHOOSE(CONTROL!$C$22, $C$13, 100%, $E$13)</f>
        <v>5.0209000000000001</v>
      </c>
      <c r="G227" s="68">
        <f>5.0277 * CHOOSE(CONTROL!$C$22, $C$13, 100%, $E$13)</f>
        <v>5.0277000000000003</v>
      </c>
      <c r="H227" s="68">
        <f>7.6402* CHOOSE(CONTROL!$C$22, $C$13, 100%, $E$13)</f>
        <v>7.6402000000000001</v>
      </c>
      <c r="I227" s="68">
        <f>7.647 * CHOOSE(CONTROL!$C$22, $C$13, 100%, $E$13)</f>
        <v>7.6470000000000002</v>
      </c>
      <c r="J227" s="68">
        <f>5.0209 * CHOOSE(CONTROL!$C$22, $C$13, 100%, $E$13)</f>
        <v>5.0209000000000001</v>
      </c>
      <c r="K227" s="68">
        <f>5.0277 * CHOOSE(CONTROL!$C$22, $C$13, 100%, $E$13)</f>
        <v>5.0277000000000003</v>
      </c>
    </row>
    <row r="228" spans="1:11" ht="15">
      <c r="A228" s="13">
        <v>48061</v>
      </c>
      <c r="B228" s="67">
        <f>4.1308 * CHOOSE(CONTROL!$C$22, $C$13, 100%, $E$13)</f>
        <v>4.1307999999999998</v>
      </c>
      <c r="C228" s="67">
        <f>4.1308 * CHOOSE(CONTROL!$C$22, $C$13, 100%, $E$13)</f>
        <v>4.1307999999999998</v>
      </c>
      <c r="D228" s="67">
        <f>4.1363 * CHOOSE(CONTROL!$C$22, $C$13, 100%, $E$13)</f>
        <v>4.1363000000000003</v>
      </c>
      <c r="E228" s="68">
        <f>4.9519 * CHOOSE(CONTROL!$C$22, $C$13, 100%, $E$13)</f>
        <v>4.9519000000000002</v>
      </c>
      <c r="F228" s="68">
        <f>4.9519 * CHOOSE(CONTROL!$C$22, $C$13, 100%, $E$13)</f>
        <v>4.9519000000000002</v>
      </c>
      <c r="G228" s="68">
        <f>4.9586 * CHOOSE(CONTROL!$C$22, $C$13, 100%, $E$13)</f>
        <v>4.9585999999999997</v>
      </c>
      <c r="H228" s="68">
        <f>7.6561* CHOOSE(CONTROL!$C$22, $C$13, 100%, $E$13)</f>
        <v>7.6561000000000003</v>
      </c>
      <c r="I228" s="68">
        <f>7.6629 * CHOOSE(CONTROL!$C$22, $C$13, 100%, $E$13)</f>
        <v>7.6628999999999996</v>
      </c>
      <c r="J228" s="68">
        <f>4.9519 * CHOOSE(CONTROL!$C$22, $C$13, 100%, $E$13)</f>
        <v>4.9519000000000002</v>
      </c>
      <c r="K228" s="68">
        <f>4.9586 * CHOOSE(CONTROL!$C$22, $C$13, 100%, $E$13)</f>
        <v>4.9585999999999997</v>
      </c>
    </row>
    <row r="229" spans="1:11" ht="15">
      <c r="A229" s="13">
        <v>48092</v>
      </c>
      <c r="B229" s="67">
        <f>4.1278 * CHOOSE(CONTROL!$C$22, $C$13, 100%, $E$13)</f>
        <v>4.1277999999999997</v>
      </c>
      <c r="C229" s="67">
        <f>4.1278 * CHOOSE(CONTROL!$C$22, $C$13, 100%, $E$13)</f>
        <v>4.1277999999999997</v>
      </c>
      <c r="D229" s="67">
        <f>4.1333 * CHOOSE(CONTROL!$C$22, $C$13, 100%, $E$13)</f>
        <v>4.1333000000000002</v>
      </c>
      <c r="E229" s="68">
        <f>4.9415 * CHOOSE(CONTROL!$C$22, $C$13, 100%, $E$13)</f>
        <v>4.9414999999999996</v>
      </c>
      <c r="F229" s="68">
        <f>4.9415 * CHOOSE(CONTROL!$C$22, $C$13, 100%, $E$13)</f>
        <v>4.9414999999999996</v>
      </c>
      <c r="G229" s="68">
        <f>4.9483 * CHOOSE(CONTROL!$C$22, $C$13, 100%, $E$13)</f>
        <v>4.9482999999999997</v>
      </c>
      <c r="H229" s="68">
        <f>7.6721* CHOOSE(CONTROL!$C$22, $C$13, 100%, $E$13)</f>
        <v>7.6721000000000004</v>
      </c>
      <c r="I229" s="68">
        <f>7.6788 * CHOOSE(CONTROL!$C$22, $C$13, 100%, $E$13)</f>
        <v>7.6787999999999998</v>
      </c>
      <c r="J229" s="68">
        <f>4.9415 * CHOOSE(CONTROL!$C$22, $C$13, 100%, $E$13)</f>
        <v>4.9414999999999996</v>
      </c>
      <c r="K229" s="68">
        <f>4.9483 * CHOOSE(CONTROL!$C$22, $C$13, 100%, $E$13)</f>
        <v>4.9482999999999997</v>
      </c>
    </row>
    <row r="230" spans="1:11" ht="15">
      <c r="A230" s="13">
        <v>48122</v>
      </c>
      <c r="B230" s="67">
        <f>4.1232 * CHOOSE(CONTROL!$C$22, $C$13, 100%, $E$13)</f>
        <v>4.1231999999999998</v>
      </c>
      <c r="C230" s="67">
        <f>4.1232 * CHOOSE(CONTROL!$C$22, $C$13, 100%, $E$13)</f>
        <v>4.1231999999999998</v>
      </c>
      <c r="D230" s="67">
        <f>4.1271 * CHOOSE(CONTROL!$C$22, $C$13, 100%, $E$13)</f>
        <v>4.1271000000000004</v>
      </c>
      <c r="E230" s="68">
        <f>4.9609 * CHOOSE(CONTROL!$C$22, $C$13, 100%, $E$13)</f>
        <v>4.9608999999999996</v>
      </c>
      <c r="F230" s="68">
        <f>4.9609 * CHOOSE(CONTROL!$C$22, $C$13, 100%, $E$13)</f>
        <v>4.9608999999999996</v>
      </c>
      <c r="G230" s="68">
        <f>4.9657 * CHOOSE(CONTROL!$C$22, $C$13, 100%, $E$13)</f>
        <v>4.9657</v>
      </c>
      <c r="H230" s="68">
        <f>7.6881* CHOOSE(CONTROL!$C$22, $C$13, 100%, $E$13)</f>
        <v>7.6881000000000004</v>
      </c>
      <c r="I230" s="68">
        <f>7.6928 * CHOOSE(CONTROL!$C$22, $C$13, 100%, $E$13)</f>
        <v>7.6928000000000001</v>
      </c>
      <c r="J230" s="68">
        <f>4.9609 * CHOOSE(CONTROL!$C$22, $C$13, 100%, $E$13)</f>
        <v>4.9608999999999996</v>
      </c>
      <c r="K230" s="68">
        <f>4.9657 * CHOOSE(CONTROL!$C$22, $C$13, 100%, $E$13)</f>
        <v>4.9657</v>
      </c>
    </row>
    <row r="231" spans="1:11" ht="15">
      <c r="A231" s="13">
        <v>48153</v>
      </c>
      <c r="B231" s="67">
        <f>4.1263 * CHOOSE(CONTROL!$C$22, $C$13, 100%, $E$13)</f>
        <v>4.1262999999999996</v>
      </c>
      <c r="C231" s="67">
        <f>4.1263 * CHOOSE(CONTROL!$C$22, $C$13, 100%, $E$13)</f>
        <v>4.1262999999999996</v>
      </c>
      <c r="D231" s="67">
        <f>4.1301 * CHOOSE(CONTROL!$C$22, $C$13, 100%, $E$13)</f>
        <v>4.1300999999999997</v>
      </c>
      <c r="E231" s="68">
        <f>4.9794 * CHOOSE(CONTROL!$C$22, $C$13, 100%, $E$13)</f>
        <v>4.9794</v>
      </c>
      <c r="F231" s="68">
        <f>4.9794 * CHOOSE(CONTROL!$C$22, $C$13, 100%, $E$13)</f>
        <v>4.9794</v>
      </c>
      <c r="G231" s="68">
        <f>4.9842 * CHOOSE(CONTROL!$C$22, $C$13, 100%, $E$13)</f>
        <v>4.9842000000000004</v>
      </c>
      <c r="H231" s="68">
        <f>7.7041* CHOOSE(CONTROL!$C$22, $C$13, 100%, $E$13)</f>
        <v>7.7041000000000004</v>
      </c>
      <c r="I231" s="68">
        <f>7.7089 * CHOOSE(CONTROL!$C$22, $C$13, 100%, $E$13)</f>
        <v>7.7088999999999999</v>
      </c>
      <c r="J231" s="68">
        <f>4.9794 * CHOOSE(CONTROL!$C$22, $C$13, 100%, $E$13)</f>
        <v>4.9794</v>
      </c>
      <c r="K231" s="68">
        <f>4.9842 * CHOOSE(CONTROL!$C$22, $C$13, 100%, $E$13)</f>
        <v>4.9842000000000004</v>
      </c>
    </row>
    <row r="232" spans="1:11" ht="15">
      <c r="A232" s="13">
        <v>48183</v>
      </c>
      <c r="B232" s="67">
        <f>4.1263 * CHOOSE(CONTROL!$C$22, $C$13, 100%, $E$13)</f>
        <v>4.1262999999999996</v>
      </c>
      <c r="C232" s="67">
        <f>4.1263 * CHOOSE(CONTROL!$C$22, $C$13, 100%, $E$13)</f>
        <v>4.1262999999999996</v>
      </c>
      <c r="D232" s="67">
        <f>4.1301 * CHOOSE(CONTROL!$C$22, $C$13, 100%, $E$13)</f>
        <v>4.1300999999999997</v>
      </c>
      <c r="E232" s="68">
        <f>4.9384 * CHOOSE(CONTROL!$C$22, $C$13, 100%, $E$13)</f>
        <v>4.9383999999999997</v>
      </c>
      <c r="F232" s="68">
        <f>4.9384 * CHOOSE(CONTROL!$C$22, $C$13, 100%, $E$13)</f>
        <v>4.9383999999999997</v>
      </c>
      <c r="G232" s="68">
        <f>4.9432 * CHOOSE(CONTROL!$C$22, $C$13, 100%, $E$13)</f>
        <v>4.9432</v>
      </c>
      <c r="H232" s="68">
        <f>7.7201* CHOOSE(CONTROL!$C$22, $C$13, 100%, $E$13)</f>
        <v>7.7201000000000004</v>
      </c>
      <c r="I232" s="68">
        <f>7.7249 * CHOOSE(CONTROL!$C$22, $C$13, 100%, $E$13)</f>
        <v>7.7248999999999999</v>
      </c>
      <c r="J232" s="68">
        <f>4.9384 * CHOOSE(CONTROL!$C$22, $C$13, 100%, $E$13)</f>
        <v>4.9383999999999997</v>
      </c>
      <c r="K232" s="68">
        <f>4.9432 * CHOOSE(CONTROL!$C$22, $C$13, 100%, $E$13)</f>
        <v>4.9432</v>
      </c>
    </row>
    <row r="233" spans="1:11" ht="15">
      <c r="A233" s="13">
        <v>48214</v>
      </c>
      <c r="B233" s="67">
        <f>4.1645 * CHOOSE(CONTROL!$C$22, $C$13, 100%, $E$13)</f>
        <v>4.1645000000000003</v>
      </c>
      <c r="C233" s="67">
        <f>4.1645 * CHOOSE(CONTROL!$C$22, $C$13, 100%, $E$13)</f>
        <v>4.1645000000000003</v>
      </c>
      <c r="D233" s="67">
        <f>4.1683 * CHOOSE(CONTROL!$C$22, $C$13, 100%, $E$13)</f>
        <v>4.1683000000000003</v>
      </c>
      <c r="E233" s="68">
        <f>5.0152 * CHOOSE(CONTROL!$C$22, $C$13, 100%, $E$13)</f>
        <v>5.0152000000000001</v>
      </c>
      <c r="F233" s="68">
        <f>5.0152 * CHOOSE(CONTROL!$C$22, $C$13, 100%, $E$13)</f>
        <v>5.0152000000000001</v>
      </c>
      <c r="G233" s="68">
        <f>5.02 * CHOOSE(CONTROL!$C$22, $C$13, 100%, $E$13)</f>
        <v>5.0199999999999996</v>
      </c>
      <c r="H233" s="68">
        <f>7.7362* CHOOSE(CONTROL!$C$22, $C$13, 100%, $E$13)</f>
        <v>7.7362000000000002</v>
      </c>
      <c r="I233" s="68">
        <f>7.741 * CHOOSE(CONTROL!$C$22, $C$13, 100%, $E$13)</f>
        <v>7.7409999999999997</v>
      </c>
      <c r="J233" s="68">
        <f>5.0152 * CHOOSE(CONTROL!$C$22, $C$13, 100%, $E$13)</f>
        <v>5.0152000000000001</v>
      </c>
      <c r="K233" s="68">
        <f>5.02 * CHOOSE(CONTROL!$C$22, $C$13, 100%, $E$13)</f>
        <v>5.0199999999999996</v>
      </c>
    </row>
    <row r="234" spans="1:11" ht="15">
      <c r="A234" s="13">
        <v>48245</v>
      </c>
      <c r="B234" s="67">
        <f>4.1614 * CHOOSE(CONTROL!$C$22, $C$13, 100%, $E$13)</f>
        <v>4.1614000000000004</v>
      </c>
      <c r="C234" s="67">
        <f>4.1614 * CHOOSE(CONTROL!$C$22, $C$13, 100%, $E$13)</f>
        <v>4.1614000000000004</v>
      </c>
      <c r="D234" s="67">
        <f>4.1653 * CHOOSE(CONTROL!$C$22, $C$13, 100%, $E$13)</f>
        <v>4.1653000000000002</v>
      </c>
      <c r="E234" s="68">
        <f>4.9336 * CHOOSE(CONTROL!$C$22, $C$13, 100%, $E$13)</f>
        <v>4.9336000000000002</v>
      </c>
      <c r="F234" s="68">
        <f>4.9336 * CHOOSE(CONTROL!$C$22, $C$13, 100%, $E$13)</f>
        <v>4.9336000000000002</v>
      </c>
      <c r="G234" s="68">
        <f>4.9384 * CHOOSE(CONTROL!$C$22, $C$13, 100%, $E$13)</f>
        <v>4.9383999999999997</v>
      </c>
      <c r="H234" s="68">
        <f>7.7523* CHOOSE(CONTROL!$C$22, $C$13, 100%, $E$13)</f>
        <v>7.7523</v>
      </c>
      <c r="I234" s="68">
        <f>7.7571 * CHOOSE(CONTROL!$C$22, $C$13, 100%, $E$13)</f>
        <v>7.7571000000000003</v>
      </c>
      <c r="J234" s="68">
        <f>4.9336 * CHOOSE(CONTROL!$C$22, $C$13, 100%, $E$13)</f>
        <v>4.9336000000000002</v>
      </c>
      <c r="K234" s="68">
        <f>4.9384 * CHOOSE(CONTROL!$C$22, $C$13, 100%, $E$13)</f>
        <v>4.9383999999999997</v>
      </c>
    </row>
    <row r="235" spans="1:11" ht="15">
      <c r="A235" s="13">
        <v>48274</v>
      </c>
      <c r="B235" s="67">
        <f>4.1584 * CHOOSE(CONTROL!$C$22, $C$13, 100%, $E$13)</f>
        <v>4.1584000000000003</v>
      </c>
      <c r="C235" s="67">
        <f>4.1584 * CHOOSE(CONTROL!$C$22, $C$13, 100%, $E$13)</f>
        <v>4.1584000000000003</v>
      </c>
      <c r="D235" s="67">
        <f>4.1623 * CHOOSE(CONTROL!$C$22, $C$13, 100%, $E$13)</f>
        <v>4.1623000000000001</v>
      </c>
      <c r="E235" s="68">
        <f>4.9942 * CHOOSE(CONTROL!$C$22, $C$13, 100%, $E$13)</f>
        <v>4.9942000000000002</v>
      </c>
      <c r="F235" s="68">
        <f>4.9942 * CHOOSE(CONTROL!$C$22, $C$13, 100%, $E$13)</f>
        <v>4.9942000000000002</v>
      </c>
      <c r="G235" s="68">
        <f>4.9989 * CHOOSE(CONTROL!$C$22, $C$13, 100%, $E$13)</f>
        <v>4.9988999999999999</v>
      </c>
      <c r="H235" s="68">
        <f>7.7685* CHOOSE(CONTROL!$C$22, $C$13, 100%, $E$13)</f>
        <v>7.7685000000000004</v>
      </c>
      <c r="I235" s="68">
        <f>7.7733 * CHOOSE(CONTROL!$C$22, $C$13, 100%, $E$13)</f>
        <v>7.7732999999999999</v>
      </c>
      <c r="J235" s="68">
        <f>4.9942 * CHOOSE(CONTROL!$C$22, $C$13, 100%, $E$13)</f>
        <v>4.9942000000000002</v>
      </c>
      <c r="K235" s="68">
        <f>4.9989 * CHOOSE(CONTROL!$C$22, $C$13, 100%, $E$13)</f>
        <v>4.9988999999999999</v>
      </c>
    </row>
    <row r="236" spans="1:11" ht="15">
      <c r="A236" s="13">
        <v>48305</v>
      </c>
      <c r="B236" s="67">
        <f>4.1562 * CHOOSE(CONTROL!$C$22, $C$13, 100%, $E$13)</f>
        <v>4.1562000000000001</v>
      </c>
      <c r="C236" s="67">
        <f>4.1562 * CHOOSE(CONTROL!$C$22, $C$13, 100%, $E$13)</f>
        <v>4.1562000000000001</v>
      </c>
      <c r="D236" s="67">
        <f>4.1601 * CHOOSE(CONTROL!$C$22, $C$13, 100%, $E$13)</f>
        <v>4.1600999999999999</v>
      </c>
      <c r="E236" s="68">
        <f>5.0572 * CHOOSE(CONTROL!$C$22, $C$13, 100%, $E$13)</f>
        <v>5.0571999999999999</v>
      </c>
      <c r="F236" s="68">
        <f>5.0572 * CHOOSE(CONTROL!$C$22, $C$13, 100%, $E$13)</f>
        <v>5.0571999999999999</v>
      </c>
      <c r="G236" s="68">
        <f>5.062 * CHOOSE(CONTROL!$C$22, $C$13, 100%, $E$13)</f>
        <v>5.0620000000000003</v>
      </c>
      <c r="H236" s="68">
        <f>7.7847* CHOOSE(CONTROL!$C$22, $C$13, 100%, $E$13)</f>
        <v>7.7847</v>
      </c>
      <c r="I236" s="68">
        <f>7.7894 * CHOOSE(CONTROL!$C$22, $C$13, 100%, $E$13)</f>
        <v>7.7893999999999997</v>
      </c>
      <c r="J236" s="68">
        <f>5.0572 * CHOOSE(CONTROL!$C$22, $C$13, 100%, $E$13)</f>
        <v>5.0571999999999999</v>
      </c>
      <c r="K236" s="68">
        <f>5.062 * CHOOSE(CONTROL!$C$22, $C$13, 100%, $E$13)</f>
        <v>5.0620000000000003</v>
      </c>
    </row>
    <row r="237" spans="1:11" ht="15">
      <c r="A237" s="13">
        <v>48335</v>
      </c>
      <c r="B237" s="67">
        <f>4.1562 * CHOOSE(CONTROL!$C$22, $C$13, 100%, $E$13)</f>
        <v>4.1562000000000001</v>
      </c>
      <c r="C237" s="67">
        <f>4.1562 * CHOOSE(CONTROL!$C$22, $C$13, 100%, $E$13)</f>
        <v>4.1562000000000001</v>
      </c>
      <c r="D237" s="67">
        <f>4.1617 * CHOOSE(CONTROL!$C$22, $C$13, 100%, $E$13)</f>
        <v>4.1616999999999997</v>
      </c>
      <c r="E237" s="68">
        <f>5.0825 * CHOOSE(CONTROL!$C$22, $C$13, 100%, $E$13)</f>
        <v>5.0824999999999996</v>
      </c>
      <c r="F237" s="68">
        <f>5.0825 * CHOOSE(CONTROL!$C$22, $C$13, 100%, $E$13)</f>
        <v>5.0824999999999996</v>
      </c>
      <c r="G237" s="68">
        <f>5.0892 * CHOOSE(CONTROL!$C$22, $C$13, 100%, $E$13)</f>
        <v>5.0891999999999999</v>
      </c>
      <c r="H237" s="68">
        <f>7.8009* CHOOSE(CONTROL!$C$22, $C$13, 100%, $E$13)</f>
        <v>7.8009000000000004</v>
      </c>
      <c r="I237" s="68">
        <f>7.8076 * CHOOSE(CONTROL!$C$22, $C$13, 100%, $E$13)</f>
        <v>7.8075999999999999</v>
      </c>
      <c r="J237" s="68">
        <f>5.0825 * CHOOSE(CONTROL!$C$22, $C$13, 100%, $E$13)</f>
        <v>5.0824999999999996</v>
      </c>
      <c r="K237" s="68">
        <f>5.0892 * CHOOSE(CONTROL!$C$22, $C$13, 100%, $E$13)</f>
        <v>5.0891999999999999</v>
      </c>
    </row>
    <row r="238" spans="1:11" ht="15">
      <c r="A238" s="13">
        <v>48366</v>
      </c>
      <c r="B238" s="67">
        <f>4.1623 * CHOOSE(CONTROL!$C$22, $C$13, 100%, $E$13)</f>
        <v>4.1623000000000001</v>
      </c>
      <c r="C238" s="67">
        <f>4.1623 * CHOOSE(CONTROL!$C$22, $C$13, 100%, $E$13)</f>
        <v>4.1623000000000001</v>
      </c>
      <c r="D238" s="67">
        <f>4.1678 * CHOOSE(CONTROL!$C$22, $C$13, 100%, $E$13)</f>
        <v>4.1677999999999997</v>
      </c>
      <c r="E238" s="68">
        <f>5.0615 * CHOOSE(CONTROL!$C$22, $C$13, 100%, $E$13)</f>
        <v>5.0614999999999997</v>
      </c>
      <c r="F238" s="68">
        <f>5.0615 * CHOOSE(CONTROL!$C$22, $C$13, 100%, $E$13)</f>
        <v>5.0614999999999997</v>
      </c>
      <c r="G238" s="68">
        <f>5.0682 * CHOOSE(CONTROL!$C$22, $C$13, 100%, $E$13)</f>
        <v>5.0682</v>
      </c>
      <c r="H238" s="68">
        <f>7.8171* CHOOSE(CONTROL!$C$22, $C$13, 100%, $E$13)</f>
        <v>7.8170999999999999</v>
      </c>
      <c r="I238" s="68">
        <f>7.8239 * CHOOSE(CONTROL!$C$22, $C$13, 100%, $E$13)</f>
        <v>7.8239000000000001</v>
      </c>
      <c r="J238" s="68">
        <f>5.0615 * CHOOSE(CONTROL!$C$22, $C$13, 100%, $E$13)</f>
        <v>5.0614999999999997</v>
      </c>
      <c r="K238" s="68">
        <f>5.0682 * CHOOSE(CONTROL!$C$22, $C$13, 100%, $E$13)</f>
        <v>5.0682</v>
      </c>
    </row>
    <row r="239" spans="1:11" ht="15">
      <c r="A239" s="13">
        <v>48396</v>
      </c>
      <c r="B239" s="67">
        <f>4.2341 * CHOOSE(CONTROL!$C$22, $C$13, 100%, $E$13)</f>
        <v>4.2340999999999998</v>
      </c>
      <c r="C239" s="67">
        <f>4.2341 * CHOOSE(CONTROL!$C$22, $C$13, 100%, $E$13)</f>
        <v>4.2340999999999998</v>
      </c>
      <c r="D239" s="67">
        <f>4.2396 * CHOOSE(CONTROL!$C$22, $C$13, 100%, $E$13)</f>
        <v>4.2396000000000003</v>
      </c>
      <c r="E239" s="68">
        <f>5.166 * CHOOSE(CONTROL!$C$22, $C$13, 100%, $E$13)</f>
        <v>5.1660000000000004</v>
      </c>
      <c r="F239" s="68">
        <f>5.166 * CHOOSE(CONTROL!$C$22, $C$13, 100%, $E$13)</f>
        <v>5.1660000000000004</v>
      </c>
      <c r="G239" s="68">
        <f>5.1728 * CHOOSE(CONTROL!$C$22, $C$13, 100%, $E$13)</f>
        <v>5.1727999999999996</v>
      </c>
      <c r="H239" s="68">
        <f>7.8334* CHOOSE(CONTROL!$C$22, $C$13, 100%, $E$13)</f>
        <v>7.8334000000000001</v>
      </c>
      <c r="I239" s="68">
        <f>7.8402 * CHOOSE(CONTROL!$C$22, $C$13, 100%, $E$13)</f>
        <v>7.8402000000000003</v>
      </c>
      <c r="J239" s="68">
        <f>5.166 * CHOOSE(CONTROL!$C$22, $C$13, 100%, $E$13)</f>
        <v>5.1660000000000004</v>
      </c>
      <c r="K239" s="68">
        <f>5.1728 * CHOOSE(CONTROL!$C$22, $C$13, 100%, $E$13)</f>
        <v>5.1727999999999996</v>
      </c>
    </row>
    <row r="240" spans="1:11" ht="15">
      <c r="A240" s="13">
        <v>48427</v>
      </c>
      <c r="B240" s="67">
        <f>4.2408 * CHOOSE(CONTROL!$C$22, $C$13, 100%, $E$13)</f>
        <v>4.2408000000000001</v>
      </c>
      <c r="C240" s="67">
        <f>4.2408 * CHOOSE(CONTROL!$C$22, $C$13, 100%, $E$13)</f>
        <v>4.2408000000000001</v>
      </c>
      <c r="D240" s="67">
        <f>4.2463 * CHOOSE(CONTROL!$C$22, $C$13, 100%, $E$13)</f>
        <v>4.2462999999999997</v>
      </c>
      <c r="E240" s="68">
        <f>5.095 * CHOOSE(CONTROL!$C$22, $C$13, 100%, $E$13)</f>
        <v>5.0949999999999998</v>
      </c>
      <c r="F240" s="68">
        <f>5.095 * CHOOSE(CONTROL!$C$22, $C$13, 100%, $E$13)</f>
        <v>5.0949999999999998</v>
      </c>
      <c r="G240" s="68">
        <f>5.1017 * CHOOSE(CONTROL!$C$22, $C$13, 100%, $E$13)</f>
        <v>5.1017000000000001</v>
      </c>
      <c r="H240" s="68">
        <f>7.8498* CHOOSE(CONTROL!$C$22, $C$13, 100%, $E$13)</f>
        <v>7.8498000000000001</v>
      </c>
      <c r="I240" s="68">
        <f>7.8565 * CHOOSE(CONTROL!$C$22, $C$13, 100%, $E$13)</f>
        <v>7.8564999999999996</v>
      </c>
      <c r="J240" s="68">
        <f>5.095 * CHOOSE(CONTROL!$C$22, $C$13, 100%, $E$13)</f>
        <v>5.0949999999999998</v>
      </c>
      <c r="K240" s="68">
        <f>5.1017 * CHOOSE(CONTROL!$C$22, $C$13, 100%, $E$13)</f>
        <v>5.1017000000000001</v>
      </c>
    </row>
    <row r="241" spans="1:11" ht="15">
      <c r="A241" s="13">
        <v>48458</v>
      </c>
      <c r="B241" s="67">
        <f>4.2378 * CHOOSE(CONTROL!$C$22, $C$13, 100%, $E$13)</f>
        <v>4.2378</v>
      </c>
      <c r="C241" s="67">
        <f>4.2378 * CHOOSE(CONTROL!$C$22, $C$13, 100%, $E$13)</f>
        <v>4.2378</v>
      </c>
      <c r="D241" s="67">
        <f>4.2433 * CHOOSE(CONTROL!$C$22, $C$13, 100%, $E$13)</f>
        <v>4.2432999999999996</v>
      </c>
      <c r="E241" s="68">
        <f>5.0844 * CHOOSE(CONTROL!$C$22, $C$13, 100%, $E$13)</f>
        <v>5.0843999999999996</v>
      </c>
      <c r="F241" s="68">
        <f>5.0844 * CHOOSE(CONTROL!$C$22, $C$13, 100%, $E$13)</f>
        <v>5.0843999999999996</v>
      </c>
      <c r="G241" s="68">
        <f>5.0912 * CHOOSE(CONTROL!$C$22, $C$13, 100%, $E$13)</f>
        <v>5.0911999999999997</v>
      </c>
      <c r="H241" s="68">
        <f>7.8661* CHOOSE(CONTROL!$C$22, $C$13, 100%, $E$13)</f>
        <v>7.8661000000000003</v>
      </c>
      <c r="I241" s="68">
        <f>7.8728 * CHOOSE(CONTROL!$C$22, $C$13, 100%, $E$13)</f>
        <v>7.8727999999999998</v>
      </c>
      <c r="J241" s="68">
        <f>5.0844 * CHOOSE(CONTROL!$C$22, $C$13, 100%, $E$13)</f>
        <v>5.0843999999999996</v>
      </c>
      <c r="K241" s="68">
        <f>5.0912 * CHOOSE(CONTROL!$C$22, $C$13, 100%, $E$13)</f>
        <v>5.0911999999999997</v>
      </c>
    </row>
    <row r="242" spans="1:11" ht="15">
      <c r="A242" s="13">
        <v>48488</v>
      </c>
      <c r="B242" s="67">
        <f>4.2336 * CHOOSE(CONTROL!$C$22, $C$13, 100%, $E$13)</f>
        <v>4.2336</v>
      </c>
      <c r="C242" s="67">
        <f>4.2336 * CHOOSE(CONTROL!$C$22, $C$13, 100%, $E$13)</f>
        <v>4.2336</v>
      </c>
      <c r="D242" s="67">
        <f>4.2375 * CHOOSE(CONTROL!$C$22, $C$13, 100%, $E$13)</f>
        <v>4.2374999999999998</v>
      </c>
      <c r="E242" s="68">
        <f>5.1047 * CHOOSE(CONTROL!$C$22, $C$13, 100%, $E$13)</f>
        <v>5.1047000000000002</v>
      </c>
      <c r="F242" s="68">
        <f>5.1047 * CHOOSE(CONTROL!$C$22, $C$13, 100%, $E$13)</f>
        <v>5.1047000000000002</v>
      </c>
      <c r="G242" s="68">
        <f>5.1094 * CHOOSE(CONTROL!$C$22, $C$13, 100%, $E$13)</f>
        <v>5.1093999999999999</v>
      </c>
      <c r="H242" s="68">
        <f>7.8825* CHOOSE(CONTROL!$C$22, $C$13, 100%, $E$13)</f>
        <v>7.8825000000000003</v>
      </c>
      <c r="I242" s="68">
        <f>7.8873 * CHOOSE(CONTROL!$C$22, $C$13, 100%, $E$13)</f>
        <v>7.8872999999999998</v>
      </c>
      <c r="J242" s="68">
        <f>5.1047 * CHOOSE(CONTROL!$C$22, $C$13, 100%, $E$13)</f>
        <v>5.1047000000000002</v>
      </c>
      <c r="K242" s="68">
        <f>5.1094 * CHOOSE(CONTROL!$C$22, $C$13, 100%, $E$13)</f>
        <v>5.1093999999999999</v>
      </c>
    </row>
    <row r="243" spans="1:11" ht="15">
      <c r="A243" s="13">
        <v>48519</v>
      </c>
      <c r="B243" s="67">
        <f>4.2367 * CHOOSE(CONTROL!$C$22, $C$13, 100%, $E$13)</f>
        <v>4.2366999999999999</v>
      </c>
      <c r="C243" s="67">
        <f>4.2367 * CHOOSE(CONTROL!$C$22, $C$13, 100%, $E$13)</f>
        <v>4.2366999999999999</v>
      </c>
      <c r="D243" s="67">
        <f>4.2405 * CHOOSE(CONTROL!$C$22, $C$13, 100%, $E$13)</f>
        <v>4.2404999999999999</v>
      </c>
      <c r="E243" s="68">
        <f>5.1236 * CHOOSE(CONTROL!$C$22, $C$13, 100%, $E$13)</f>
        <v>5.1235999999999997</v>
      </c>
      <c r="F243" s="68">
        <f>5.1236 * CHOOSE(CONTROL!$C$22, $C$13, 100%, $E$13)</f>
        <v>5.1235999999999997</v>
      </c>
      <c r="G243" s="68">
        <f>5.1284 * CHOOSE(CONTROL!$C$22, $C$13, 100%, $E$13)</f>
        <v>5.1284000000000001</v>
      </c>
      <c r="H243" s="68">
        <f>7.8989* CHOOSE(CONTROL!$C$22, $C$13, 100%, $E$13)</f>
        <v>7.8989000000000003</v>
      </c>
      <c r="I243" s="68">
        <f>7.9037 * CHOOSE(CONTROL!$C$22, $C$13, 100%, $E$13)</f>
        <v>7.9036999999999997</v>
      </c>
      <c r="J243" s="68">
        <f>5.1236 * CHOOSE(CONTROL!$C$22, $C$13, 100%, $E$13)</f>
        <v>5.1235999999999997</v>
      </c>
      <c r="K243" s="68">
        <f>5.1284 * CHOOSE(CONTROL!$C$22, $C$13, 100%, $E$13)</f>
        <v>5.1284000000000001</v>
      </c>
    </row>
    <row r="244" spans="1:11" ht="15">
      <c r="A244" s="13">
        <v>48549</v>
      </c>
      <c r="B244" s="67">
        <f>4.2367 * CHOOSE(CONTROL!$C$22, $C$13, 100%, $E$13)</f>
        <v>4.2366999999999999</v>
      </c>
      <c r="C244" s="67">
        <f>4.2367 * CHOOSE(CONTROL!$C$22, $C$13, 100%, $E$13)</f>
        <v>4.2366999999999999</v>
      </c>
      <c r="D244" s="67">
        <f>4.2405 * CHOOSE(CONTROL!$C$22, $C$13, 100%, $E$13)</f>
        <v>4.2404999999999999</v>
      </c>
      <c r="E244" s="68">
        <f>5.0815 * CHOOSE(CONTROL!$C$22, $C$13, 100%, $E$13)</f>
        <v>5.0815000000000001</v>
      </c>
      <c r="F244" s="68">
        <f>5.0815 * CHOOSE(CONTROL!$C$22, $C$13, 100%, $E$13)</f>
        <v>5.0815000000000001</v>
      </c>
      <c r="G244" s="68">
        <f>5.0863 * CHOOSE(CONTROL!$C$22, $C$13, 100%, $E$13)</f>
        <v>5.0862999999999996</v>
      </c>
      <c r="H244" s="68">
        <f>7.9154* CHOOSE(CONTROL!$C$22, $C$13, 100%, $E$13)</f>
        <v>7.9154</v>
      </c>
      <c r="I244" s="68">
        <f>7.9201 * CHOOSE(CONTROL!$C$22, $C$13, 100%, $E$13)</f>
        <v>7.9200999999999997</v>
      </c>
      <c r="J244" s="68">
        <f>5.0815 * CHOOSE(CONTROL!$C$22, $C$13, 100%, $E$13)</f>
        <v>5.0815000000000001</v>
      </c>
      <c r="K244" s="68">
        <f>5.0863 * CHOOSE(CONTROL!$C$22, $C$13, 100%, $E$13)</f>
        <v>5.0862999999999996</v>
      </c>
    </row>
    <row r="245" spans="1:11" ht="15">
      <c r="A245" s="13">
        <v>48580</v>
      </c>
      <c r="B245" s="67">
        <f>4.2764 * CHOOSE(CONTROL!$C$22, $C$13, 100%, $E$13)</f>
        <v>4.2763999999999998</v>
      </c>
      <c r="C245" s="67">
        <f>4.2764 * CHOOSE(CONTROL!$C$22, $C$13, 100%, $E$13)</f>
        <v>4.2763999999999998</v>
      </c>
      <c r="D245" s="67">
        <f>4.2803 * CHOOSE(CONTROL!$C$22, $C$13, 100%, $E$13)</f>
        <v>4.2803000000000004</v>
      </c>
      <c r="E245" s="68">
        <f>5.1642 * CHOOSE(CONTROL!$C$22, $C$13, 100%, $E$13)</f>
        <v>5.1642000000000001</v>
      </c>
      <c r="F245" s="68">
        <f>5.1642 * CHOOSE(CONTROL!$C$22, $C$13, 100%, $E$13)</f>
        <v>5.1642000000000001</v>
      </c>
      <c r="G245" s="68">
        <f>5.169 * CHOOSE(CONTROL!$C$22, $C$13, 100%, $E$13)</f>
        <v>5.1689999999999996</v>
      </c>
      <c r="H245" s="68">
        <f>7.9319* CHOOSE(CONTROL!$C$22, $C$13, 100%, $E$13)</f>
        <v>7.9318999999999997</v>
      </c>
      <c r="I245" s="68">
        <f>7.9366 * CHOOSE(CONTROL!$C$22, $C$13, 100%, $E$13)</f>
        <v>7.9366000000000003</v>
      </c>
      <c r="J245" s="68">
        <f>5.1642 * CHOOSE(CONTROL!$C$22, $C$13, 100%, $E$13)</f>
        <v>5.1642000000000001</v>
      </c>
      <c r="K245" s="68">
        <f>5.169 * CHOOSE(CONTROL!$C$22, $C$13, 100%, $E$13)</f>
        <v>5.1689999999999996</v>
      </c>
    </row>
    <row r="246" spans="1:11" ht="15">
      <c r="A246" s="13">
        <v>48611</v>
      </c>
      <c r="B246" s="67">
        <f>4.2734 * CHOOSE(CONTROL!$C$22, $C$13, 100%, $E$13)</f>
        <v>4.2733999999999996</v>
      </c>
      <c r="C246" s="67">
        <f>4.2734 * CHOOSE(CONTROL!$C$22, $C$13, 100%, $E$13)</f>
        <v>4.2733999999999996</v>
      </c>
      <c r="D246" s="67">
        <f>4.2772 * CHOOSE(CONTROL!$C$22, $C$13, 100%, $E$13)</f>
        <v>4.2771999999999997</v>
      </c>
      <c r="E246" s="68">
        <f>5.0805 * CHOOSE(CONTROL!$C$22, $C$13, 100%, $E$13)</f>
        <v>5.0804999999999998</v>
      </c>
      <c r="F246" s="68">
        <f>5.0805 * CHOOSE(CONTROL!$C$22, $C$13, 100%, $E$13)</f>
        <v>5.0804999999999998</v>
      </c>
      <c r="G246" s="68">
        <f>5.0853 * CHOOSE(CONTROL!$C$22, $C$13, 100%, $E$13)</f>
        <v>5.0853000000000002</v>
      </c>
      <c r="H246" s="68">
        <f>7.9484* CHOOSE(CONTROL!$C$22, $C$13, 100%, $E$13)</f>
        <v>7.9484000000000004</v>
      </c>
      <c r="I246" s="68">
        <f>7.9532 * CHOOSE(CONTROL!$C$22, $C$13, 100%, $E$13)</f>
        <v>7.9531999999999998</v>
      </c>
      <c r="J246" s="68">
        <f>5.0805 * CHOOSE(CONTROL!$C$22, $C$13, 100%, $E$13)</f>
        <v>5.0804999999999998</v>
      </c>
      <c r="K246" s="68">
        <f>5.0853 * CHOOSE(CONTROL!$C$22, $C$13, 100%, $E$13)</f>
        <v>5.0853000000000002</v>
      </c>
    </row>
    <row r="247" spans="1:11" ht="15">
      <c r="A247" s="13">
        <v>48639</v>
      </c>
      <c r="B247" s="67">
        <f>4.2703 * CHOOSE(CONTROL!$C$22, $C$13, 100%, $E$13)</f>
        <v>4.2702999999999998</v>
      </c>
      <c r="C247" s="67">
        <f>4.2703 * CHOOSE(CONTROL!$C$22, $C$13, 100%, $E$13)</f>
        <v>4.2702999999999998</v>
      </c>
      <c r="D247" s="67">
        <f>4.2742 * CHOOSE(CONTROL!$C$22, $C$13, 100%, $E$13)</f>
        <v>4.2742000000000004</v>
      </c>
      <c r="E247" s="68">
        <f>5.1427 * CHOOSE(CONTROL!$C$22, $C$13, 100%, $E$13)</f>
        <v>5.1426999999999996</v>
      </c>
      <c r="F247" s="68">
        <f>5.1427 * CHOOSE(CONTROL!$C$22, $C$13, 100%, $E$13)</f>
        <v>5.1426999999999996</v>
      </c>
      <c r="G247" s="68">
        <f>5.1475 * CHOOSE(CONTROL!$C$22, $C$13, 100%, $E$13)</f>
        <v>5.1475</v>
      </c>
      <c r="H247" s="68">
        <f>7.9649* CHOOSE(CONTROL!$C$22, $C$13, 100%, $E$13)</f>
        <v>7.9649000000000001</v>
      </c>
      <c r="I247" s="68">
        <f>7.9697 * CHOOSE(CONTROL!$C$22, $C$13, 100%, $E$13)</f>
        <v>7.9696999999999996</v>
      </c>
      <c r="J247" s="68">
        <f>5.1427 * CHOOSE(CONTROL!$C$22, $C$13, 100%, $E$13)</f>
        <v>5.1426999999999996</v>
      </c>
      <c r="K247" s="68">
        <f>5.1475 * CHOOSE(CONTROL!$C$22, $C$13, 100%, $E$13)</f>
        <v>5.1475</v>
      </c>
    </row>
    <row r="248" spans="1:11" ht="15">
      <c r="A248" s="13">
        <v>48670</v>
      </c>
      <c r="B248" s="67">
        <f>4.2682 * CHOOSE(CONTROL!$C$22, $C$13, 100%, $E$13)</f>
        <v>4.2682000000000002</v>
      </c>
      <c r="C248" s="67">
        <f>4.2682 * CHOOSE(CONTROL!$C$22, $C$13, 100%, $E$13)</f>
        <v>4.2682000000000002</v>
      </c>
      <c r="D248" s="67">
        <f>4.2721 * CHOOSE(CONTROL!$C$22, $C$13, 100%, $E$13)</f>
        <v>4.2721</v>
      </c>
      <c r="E248" s="68">
        <f>5.2076 * CHOOSE(CONTROL!$C$22, $C$13, 100%, $E$13)</f>
        <v>5.2076000000000002</v>
      </c>
      <c r="F248" s="68">
        <f>5.2076 * CHOOSE(CONTROL!$C$22, $C$13, 100%, $E$13)</f>
        <v>5.2076000000000002</v>
      </c>
      <c r="G248" s="68">
        <f>5.2123 * CHOOSE(CONTROL!$C$22, $C$13, 100%, $E$13)</f>
        <v>5.2122999999999999</v>
      </c>
      <c r="H248" s="68">
        <f>7.9815* CHOOSE(CONTROL!$C$22, $C$13, 100%, $E$13)</f>
        <v>7.9814999999999996</v>
      </c>
      <c r="I248" s="68">
        <f>7.9863 * CHOOSE(CONTROL!$C$22, $C$13, 100%, $E$13)</f>
        <v>7.9863</v>
      </c>
      <c r="J248" s="68">
        <f>5.2076 * CHOOSE(CONTROL!$C$22, $C$13, 100%, $E$13)</f>
        <v>5.2076000000000002</v>
      </c>
      <c r="K248" s="68">
        <f>5.2123 * CHOOSE(CONTROL!$C$22, $C$13, 100%, $E$13)</f>
        <v>5.2122999999999999</v>
      </c>
    </row>
    <row r="249" spans="1:11" ht="15">
      <c r="A249" s="13">
        <v>48700</v>
      </c>
      <c r="B249" s="67">
        <f>4.2682 * CHOOSE(CONTROL!$C$22, $C$13, 100%, $E$13)</f>
        <v>4.2682000000000002</v>
      </c>
      <c r="C249" s="67">
        <f>4.2682 * CHOOSE(CONTROL!$C$22, $C$13, 100%, $E$13)</f>
        <v>4.2682000000000002</v>
      </c>
      <c r="D249" s="67">
        <f>4.2737 * CHOOSE(CONTROL!$C$22, $C$13, 100%, $E$13)</f>
        <v>4.2736999999999998</v>
      </c>
      <c r="E249" s="68">
        <f>5.2335 * CHOOSE(CONTROL!$C$22, $C$13, 100%, $E$13)</f>
        <v>5.2335000000000003</v>
      </c>
      <c r="F249" s="68">
        <f>5.2335 * CHOOSE(CONTROL!$C$22, $C$13, 100%, $E$13)</f>
        <v>5.2335000000000003</v>
      </c>
      <c r="G249" s="68">
        <f>5.2402 * CHOOSE(CONTROL!$C$22, $C$13, 100%, $E$13)</f>
        <v>5.2401999999999997</v>
      </c>
      <c r="H249" s="68">
        <f>7.9982* CHOOSE(CONTROL!$C$22, $C$13, 100%, $E$13)</f>
        <v>7.9981999999999998</v>
      </c>
      <c r="I249" s="68">
        <f>8.0049 * CHOOSE(CONTROL!$C$22, $C$13, 100%, $E$13)</f>
        <v>8.0048999999999992</v>
      </c>
      <c r="J249" s="68">
        <f>5.2335 * CHOOSE(CONTROL!$C$22, $C$13, 100%, $E$13)</f>
        <v>5.2335000000000003</v>
      </c>
      <c r="K249" s="68">
        <f>5.2402 * CHOOSE(CONTROL!$C$22, $C$13, 100%, $E$13)</f>
        <v>5.2401999999999997</v>
      </c>
    </row>
    <row r="250" spans="1:11" ht="15">
      <c r="A250" s="13">
        <v>48731</v>
      </c>
      <c r="B250" s="67">
        <f>4.2743 * CHOOSE(CONTROL!$C$22, $C$13, 100%, $E$13)</f>
        <v>4.2743000000000002</v>
      </c>
      <c r="C250" s="67">
        <f>4.2743 * CHOOSE(CONTROL!$C$22, $C$13, 100%, $E$13)</f>
        <v>4.2743000000000002</v>
      </c>
      <c r="D250" s="67">
        <f>4.2798 * CHOOSE(CONTROL!$C$22, $C$13, 100%, $E$13)</f>
        <v>4.2797999999999998</v>
      </c>
      <c r="E250" s="68">
        <f>5.2118 * CHOOSE(CONTROL!$C$22, $C$13, 100%, $E$13)</f>
        <v>5.2118000000000002</v>
      </c>
      <c r="F250" s="68">
        <f>5.2118 * CHOOSE(CONTROL!$C$22, $C$13, 100%, $E$13)</f>
        <v>5.2118000000000002</v>
      </c>
      <c r="G250" s="68">
        <f>5.2185 * CHOOSE(CONTROL!$C$22, $C$13, 100%, $E$13)</f>
        <v>5.2184999999999997</v>
      </c>
      <c r="H250" s="68">
        <f>8.0148* CHOOSE(CONTROL!$C$22, $C$13, 100%, $E$13)</f>
        <v>8.0147999999999993</v>
      </c>
      <c r="I250" s="68">
        <f>8.0216 * CHOOSE(CONTROL!$C$22, $C$13, 100%, $E$13)</f>
        <v>8.0215999999999994</v>
      </c>
      <c r="J250" s="68">
        <f>5.2118 * CHOOSE(CONTROL!$C$22, $C$13, 100%, $E$13)</f>
        <v>5.2118000000000002</v>
      </c>
      <c r="K250" s="68">
        <f>5.2185 * CHOOSE(CONTROL!$C$22, $C$13, 100%, $E$13)</f>
        <v>5.2184999999999997</v>
      </c>
    </row>
    <row r="251" spans="1:11" ht="15">
      <c r="A251" s="13">
        <v>48761</v>
      </c>
      <c r="B251" s="67">
        <f>4.3499 * CHOOSE(CONTROL!$C$22, $C$13, 100%, $E$13)</f>
        <v>4.3498999999999999</v>
      </c>
      <c r="C251" s="67">
        <f>4.3499 * CHOOSE(CONTROL!$C$22, $C$13, 100%, $E$13)</f>
        <v>4.3498999999999999</v>
      </c>
      <c r="D251" s="67">
        <f>4.3554 * CHOOSE(CONTROL!$C$22, $C$13, 100%, $E$13)</f>
        <v>4.3554000000000004</v>
      </c>
      <c r="E251" s="68">
        <f>5.3292 * CHOOSE(CONTROL!$C$22, $C$13, 100%, $E$13)</f>
        <v>5.3292000000000002</v>
      </c>
      <c r="F251" s="68">
        <f>5.3292 * CHOOSE(CONTROL!$C$22, $C$13, 100%, $E$13)</f>
        <v>5.3292000000000002</v>
      </c>
      <c r="G251" s="68">
        <f>5.336 * CHOOSE(CONTROL!$C$22, $C$13, 100%, $E$13)</f>
        <v>5.3360000000000003</v>
      </c>
      <c r="H251" s="68">
        <f>8.0315* CHOOSE(CONTROL!$C$22, $C$13, 100%, $E$13)</f>
        <v>8.0314999999999994</v>
      </c>
      <c r="I251" s="68">
        <f>8.0383 * CHOOSE(CONTROL!$C$22, $C$13, 100%, $E$13)</f>
        <v>8.0382999999999996</v>
      </c>
      <c r="J251" s="68">
        <f>5.3292 * CHOOSE(CONTROL!$C$22, $C$13, 100%, $E$13)</f>
        <v>5.3292000000000002</v>
      </c>
      <c r="K251" s="68">
        <f>5.336 * CHOOSE(CONTROL!$C$22, $C$13, 100%, $E$13)</f>
        <v>5.3360000000000003</v>
      </c>
    </row>
    <row r="252" spans="1:11" ht="15">
      <c r="A252" s="13">
        <v>48792</v>
      </c>
      <c r="B252" s="67">
        <f>4.3566 * CHOOSE(CONTROL!$C$22, $C$13, 100%, $E$13)</f>
        <v>4.3566000000000003</v>
      </c>
      <c r="C252" s="67">
        <f>4.3566 * CHOOSE(CONTROL!$C$22, $C$13, 100%, $E$13)</f>
        <v>4.3566000000000003</v>
      </c>
      <c r="D252" s="67">
        <f>4.3621 * CHOOSE(CONTROL!$C$22, $C$13, 100%, $E$13)</f>
        <v>4.3620999999999999</v>
      </c>
      <c r="E252" s="68">
        <f>5.2562 * CHOOSE(CONTROL!$C$22, $C$13, 100%, $E$13)</f>
        <v>5.2561999999999998</v>
      </c>
      <c r="F252" s="68">
        <f>5.2562 * CHOOSE(CONTROL!$C$22, $C$13, 100%, $E$13)</f>
        <v>5.2561999999999998</v>
      </c>
      <c r="G252" s="68">
        <f>5.2629 * CHOOSE(CONTROL!$C$22, $C$13, 100%, $E$13)</f>
        <v>5.2629000000000001</v>
      </c>
      <c r="H252" s="68">
        <f>8.0483* CHOOSE(CONTROL!$C$22, $C$13, 100%, $E$13)</f>
        <v>8.0482999999999993</v>
      </c>
      <c r="I252" s="68">
        <f>8.055 * CHOOSE(CONTROL!$C$22, $C$13, 100%, $E$13)</f>
        <v>8.0549999999999997</v>
      </c>
      <c r="J252" s="68">
        <f>5.2562 * CHOOSE(CONTROL!$C$22, $C$13, 100%, $E$13)</f>
        <v>5.2561999999999998</v>
      </c>
      <c r="K252" s="68">
        <f>5.2629 * CHOOSE(CONTROL!$C$22, $C$13, 100%, $E$13)</f>
        <v>5.2629000000000001</v>
      </c>
    </row>
    <row r="253" spans="1:11" ht="15">
      <c r="A253" s="13">
        <v>48823</v>
      </c>
      <c r="B253" s="67">
        <f>4.3535 * CHOOSE(CONTROL!$C$22, $C$13, 100%, $E$13)</f>
        <v>4.3535000000000004</v>
      </c>
      <c r="C253" s="67">
        <f>4.3535 * CHOOSE(CONTROL!$C$22, $C$13, 100%, $E$13)</f>
        <v>4.3535000000000004</v>
      </c>
      <c r="D253" s="67">
        <f>4.359 * CHOOSE(CONTROL!$C$22, $C$13, 100%, $E$13)</f>
        <v>4.359</v>
      </c>
      <c r="E253" s="68">
        <f>5.2454 * CHOOSE(CONTROL!$C$22, $C$13, 100%, $E$13)</f>
        <v>5.2454000000000001</v>
      </c>
      <c r="F253" s="68">
        <f>5.2454 * CHOOSE(CONTROL!$C$22, $C$13, 100%, $E$13)</f>
        <v>5.2454000000000001</v>
      </c>
      <c r="G253" s="68">
        <f>5.2522 * CHOOSE(CONTROL!$C$22, $C$13, 100%, $E$13)</f>
        <v>5.2522000000000002</v>
      </c>
      <c r="H253" s="68">
        <f>8.065* CHOOSE(CONTROL!$C$22, $C$13, 100%, $E$13)</f>
        <v>8.0649999999999995</v>
      </c>
      <c r="I253" s="68">
        <f>8.0718 * CHOOSE(CONTROL!$C$22, $C$13, 100%, $E$13)</f>
        <v>8.0717999999999996</v>
      </c>
      <c r="J253" s="68">
        <f>5.2454 * CHOOSE(CONTROL!$C$22, $C$13, 100%, $E$13)</f>
        <v>5.2454000000000001</v>
      </c>
      <c r="K253" s="68">
        <f>5.2522 * CHOOSE(CONTROL!$C$22, $C$13, 100%, $E$13)</f>
        <v>5.2522000000000002</v>
      </c>
    </row>
    <row r="254" spans="1:11" ht="15">
      <c r="A254" s="13">
        <v>48853</v>
      </c>
      <c r="B254" s="67">
        <f>4.3497 * CHOOSE(CONTROL!$C$22, $C$13, 100%, $E$13)</f>
        <v>4.3497000000000003</v>
      </c>
      <c r="C254" s="67">
        <f>4.3497 * CHOOSE(CONTROL!$C$22, $C$13, 100%, $E$13)</f>
        <v>4.3497000000000003</v>
      </c>
      <c r="D254" s="67">
        <f>4.3536 * CHOOSE(CONTROL!$C$22, $C$13, 100%, $E$13)</f>
        <v>4.3536000000000001</v>
      </c>
      <c r="E254" s="68">
        <f>5.2665 * CHOOSE(CONTROL!$C$22, $C$13, 100%, $E$13)</f>
        <v>5.2664999999999997</v>
      </c>
      <c r="F254" s="68">
        <f>5.2665 * CHOOSE(CONTROL!$C$22, $C$13, 100%, $E$13)</f>
        <v>5.2664999999999997</v>
      </c>
      <c r="G254" s="68">
        <f>5.2713 * CHOOSE(CONTROL!$C$22, $C$13, 100%, $E$13)</f>
        <v>5.2713000000000001</v>
      </c>
      <c r="H254" s="68">
        <f>8.0818* CHOOSE(CONTROL!$C$22, $C$13, 100%, $E$13)</f>
        <v>8.0817999999999994</v>
      </c>
      <c r="I254" s="68">
        <f>8.0866 * CHOOSE(CONTROL!$C$22, $C$13, 100%, $E$13)</f>
        <v>8.0866000000000007</v>
      </c>
      <c r="J254" s="68">
        <f>5.2665 * CHOOSE(CONTROL!$C$22, $C$13, 100%, $E$13)</f>
        <v>5.2664999999999997</v>
      </c>
      <c r="K254" s="68">
        <f>5.2713 * CHOOSE(CONTROL!$C$22, $C$13, 100%, $E$13)</f>
        <v>5.2713000000000001</v>
      </c>
    </row>
    <row r="255" spans="1:11" ht="15">
      <c r="A255" s="13">
        <v>48884</v>
      </c>
      <c r="B255" s="67">
        <f>4.3528 * CHOOSE(CONTROL!$C$22, $C$13, 100%, $E$13)</f>
        <v>4.3528000000000002</v>
      </c>
      <c r="C255" s="67">
        <f>4.3528 * CHOOSE(CONTROL!$C$22, $C$13, 100%, $E$13)</f>
        <v>4.3528000000000002</v>
      </c>
      <c r="D255" s="67">
        <f>4.3567 * CHOOSE(CONTROL!$C$22, $C$13, 100%, $E$13)</f>
        <v>4.3567</v>
      </c>
      <c r="E255" s="68">
        <f>5.2859 * CHOOSE(CONTROL!$C$22, $C$13, 100%, $E$13)</f>
        <v>5.2858999999999998</v>
      </c>
      <c r="F255" s="68">
        <f>5.2859 * CHOOSE(CONTROL!$C$22, $C$13, 100%, $E$13)</f>
        <v>5.2858999999999998</v>
      </c>
      <c r="G255" s="68">
        <f>5.2907 * CHOOSE(CONTROL!$C$22, $C$13, 100%, $E$13)</f>
        <v>5.2907000000000002</v>
      </c>
      <c r="H255" s="68">
        <f>8.0987* CHOOSE(CONTROL!$C$22, $C$13, 100%, $E$13)</f>
        <v>8.0986999999999991</v>
      </c>
      <c r="I255" s="68">
        <f>8.1034 * CHOOSE(CONTROL!$C$22, $C$13, 100%, $E$13)</f>
        <v>8.1034000000000006</v>
      </c>
      <c r="J255" s="68">
        <f>5.2859 * CHOOSE(CONTROL!$C$22, $C$13, 100%, $E$13)</f>
        <v>5.2858999999999998</v>
      </c>
      <c r="K255" s="68">
        <f>5.2907 * CHOOSE(CONTROL!$C$22, $C$13, 100%, $E$13)</f>
        <v>5.2907000000000002</v>
      </c>
    </row>
    <row r="256" spans="1:11" ht="15">
      <c r="A256" s="13">
        <v>48914</v>
      </c>
      <c r="B256" s="67">
        <f>4.3528 * CHOOSE(CONTROL!$C$22, $C$13, 100%, $E$13)</f>
        <v>4.3528000000000002</v>
      </c>
      <c r="C256" s="67">
        <f>4.3528 * CHOOSE(CONTROL!$C$22, $C$13, 100%, $E$13)</f>
        <v>4.3528000000000002</v>
      </c>
      <c r="D256" s="67">
        <f>4.3567 * CHOOSE(CONTROL!$C$22, $C$13, 100%, $E$13)</f>
        <v>4.3567</v>
      </c>
      <c r="E256" s="68">
        <f>5.2427 * CHOOSE(CONTROL!$C$22, $C$13, 100%, $E$13)</f>
        <v>5.2427000000000001</v>
      </c>
      <c r="F256" s="68">
        <f>5.2427 * CHOOSE(CONTROL!$C$22, $C$13, 100%, $E$13)</f>
        <v>5.2427000000000001</v>
      </c>
      <c r="G256" s="68">
        <f>5.2475 * CHOOSE(CONTROL!$C$22, $C$13, 100%, $E$13)</f>
        <v>5.2474999999999996</v>
      </c>
      <c r="H256" s="68">
        <f>8.1155* CHOOSE(CONTROL!$C$22, $C$13, 100%, $E$13)</f>
        <v>8.1155000000000008</v>
      </c>
      <c r="I256" s="68">
        <f>8.1203 * CHOOSE(CONTROL!$C$22, $C$13, 100%, $E$13)</f>
        <v>8.1203000000000003</v>
      </c>
      <c r="J256" s="68">
        <f>5.2427 * CHOOSE(CONTROL!$C$22, $C$13, 100%, $E$13)</f>
        <v>5.2427000000000001</v>
      </c>
      <c r="K256" s="68">
        <f>5.2475 * CHOOSE(CONTROL!$C$22, $C$13, 100%, $E$13)</f>
        <v>5.2474999999999996</v>
      </c>
    </row>
    <row r="257" spans="1:11" ht="15">
      <c r="A257" s="13">
        <v>48945</v>
      </c>
      <c r="B257" s="67">
        <f>4.3942 * CHOOSE(CONTROL!$C$22, $C$13, 100%, $E$13)</f>
        <v>4.3941999999999997</v>
      </c>
      <c r="C257" s="67">
        <f>4.3942 * CHOOSE(CONTROL!$C$22, $C$13, 100%, $E$13)</f>
        <v>4.3941999999999997</v>
      </c>
      <c r="D257" s="67">
        <f>4.398 * CHOOSE(CONTROL!$C$22, $C$13, 100%, $E$13)</f>
        <v>4.3979999999999997</v>
      </c>
      <c r="E257" s="68">
        <f>5.3259 * CHOOSE(CONTROL!$C$22, $C$13, 100%, $E$13)</f>
        <v>5.3258999999999999</v>
      </c>
      <c r="F257" s="68">
        <f>5.3259 * CHOOSE(CONTROL!$C$22, $C$13, 100%, $E$13)</f>
        <v>5.3258999999999999</v>
      </c>
      <c r="G257" s="68">
        <f>5.3307 * CHOOSE(CONTROL!$C$22, $C$13, 100%, $E$13)</f>
        <v>5.3307000000000002</v>
      </c>
      <c r="H257" s="68">
        <f>8.1324* CHOOSE(CONTROL!$C$22, $C$13, 100%, $E$13)</f>
        <v>8.1324000000000005</v>
      </c>
      <c r="I257" s="68">
        <f>8.1372 * CHOOSE(CONTROL!$C$22, $C$13, 100%, $E$13)</f>
        <v>8.1372</v>
      </c>
      <c r="J257" s="68">
        <f>5.3259 * CHOOSE(CONTROL!$C$22, $C$13, 100%, $E$13)</f>
        <v>5.3258999999999999</v>
      </c>
      <c r="K257" s="68">
        <f>5.3307 * CHOOSE(CONTROL!$C$22, $C$13, 100%, $E$13)</f>
        <v>5.3307000000000002</v>
      </c>
    </row>
    <row r="258" spans="1:11" ht="15">
      <c r="A258" s="13">
        <v>48976</v>
      </c>
      <c r="B258" s="67">
        <f>4.3911 * CHOOSE(CONTROL!$C$22, $C$13, 100%, $E$13)</f>
        <v>4.3910999999999998</v>
      </c>
      <c r="C258" s="67">
        <f>4.3911 * CHOOSE(CONTROL!$C$22, $C$13, 100%, $E$13)</f>
        <v>4.3910999999999998</v>
      </c>
      <c r="D258" s="67">
        <f>4.395 * CHOOSE(CONTROL!$C$22, $C$13, 100%, $E$13)</f>
        <v>4.3949999999999996</v>
      </c>
      <c r="E258" s="68">
        <f>5.24 * CHOOSE(CONTROL!$C$22, $C$13, 100%, $E$13)</f>
        <v>5.24</v>
      </c>
      <c r="F258" s="68">
        <f>5.24 * CHOOSE(CONTROL!$C$22, $C$13, 100%, $E$13)</f>
        <v>5.24</v>
      </c>
      <c r="G258" s="68">
        <f>5.2448 * CHOOSE(CONTROL!$C$22, $C$13, 100%, $E$13)</f>
        <v>5.2447999999999997</v>
      </c>
      <c r="H258" s="68">
        <f>8.1494* CHOOSE(CONTROL!$C$22, $C$13, 100%, $E$13)</f>
        <v>8.1494</v>
      </c>
      <c r="I258" s="68">
        <f>8.1542 * CHOOSE(CONTROL!$C$22, $C$13, 100%, $E$13)</f>
        <v>8.1541999999999994</v>
      </c>
      <c r="J258" s="68">
        <f>5.24 * CHOOSE(CONTROL!$C$22, $C$13, 100%, $E$13)</f>
        <v>5.24</v>
      </c>
      <c r="K258" s="68">
        <f>5.2448 * CHOOSE(CONTROL!$C$22, $C$13, 100%, $E$13)</f>
        <v>5.2447999999999997</v>
      </c>
    </row>
    <row r="259" spans="1:11" ht="15">
      <c r="A259" s="13">
        <v>49004</v>
      </c>
      <c r="B259" s="67">
        <f>4.3881 * CHOOSE(CONTROL!$C$22, $C$13, 100%, $E$13)</f>
        <v>4.3880999999999997</v>
      </c>
      <c r="C259" s="67">
        <f>4.3881 * CHOOSE(CONTROL!$C$22, $C$13, 100%, $E$13)</f>
        <v>4.3880999999999997</v>
      </c>
      <c r="D259" s="67">
        <f>4.3919 * CHOOSE(CONTROL!$C$22, $C$13, 100%, $E$13)</f>
        <v>4.3918999999999997</v>
      </c>
      <c r="E259" s="68">
        <f>5.304 * CHOOSE(CONTROL!$C$22, $C$13, 100%, $E$13)</f>
        <v>5.3040000000000003</v>
      </c>
      <c r="F259" s="68">
        <f>5.304 * CHOOSE(CONTROL!$C$22, $C$13, 100%, $E$13)</f>
        <v>5.3040000000000003</v>
      </c>
      <c r="G259" s="68">
        <f>5.3087 * CHOOSE(CONTROL!$C$22, $C$13, 100%, $E$13)</f>
        <v>5.3087</v>
      </c>
      <c r="H259" s="68">
        <f>8.1664* CHOOSE(CONTROL!$C$22, $C$13, 100%, $E$13)</f>
        <v>8.1663999999999994</v>
      </c>
      <c r="I259" s="68">
        <f>8.1711 * CHOOSE(CONTROL!$C$22, $C$13, 100%, $E$13)</f>
        <v>8.1710999999999991</v>
      </c>
      <c r="J259" s="68">
        <f>5.304 * CHOOSE(CONTROL!$C$22, $C$13, 100%, $E$13)</f>
        <v>5.3040000000000003</v>
      </c>
      <c r="K259" s="68">
        <f>5.3087 * CHOOSE(CONTROL!$C$22, $C$13, 100%, $E$13)</f>
        <v>5.3087</v>
      </c>
    </row>
    <row r="260" spans="1:11" ht="15">
      <c r="A260" s="13">
        <v>49035</v>
      </c>
      <c r="B260" s="67">
        <f>4.3861 * CHOOSE(CONTROL!$C$22, $C$13, 100%, $E$13)</f>
        <v>4.3860999999999999</v>
      </c>
      <c r="C260" s="67">
        <f>4.3861 * CHOOSE(CONTROL!$C$22, $C$13, 100%, $E$13)</f>
        <v>4.3860999999999999</v>
      </c>
      <c r="D260" s="67">
        <f>4.3899 * CHOOSE(CONTROL!$C$22, $C$13, 100%, $E$13)</f>
        <v>4.3898999999999999</v>
      </c>
      <c r="E260" s="68">
        <f>5.3707 * CHOOSE(CONTROL!$C$22, $C$13, 100%, $E$13)</f>
        <v>5.3707000000000003</v>
      </c>
      <c r="F260" s="68">
        <f>5.3707 * CHOOSE(CONTROL!$C$22, $C$13, 100%, $E$13)</f>
        <v>5.3707000000000003</v>
      </c>
      <c r="G260" s="68">
        <f>5.3754 * CHOOSE(CONTROL!$C$22, $C$13, 100%, $E$13)</f>
        <v>5.3754</v>
      </c>
      <c r="H260" s="68">
        <f>8.1834* CHOOSE(CONTROL!$C$22, $C$13, 100%, $E$13)</f>
        <v>8.1834000000000007</v>
      </c>
      <c r="I260" s="68">
        <f>8.1882 * CHOOSE(CONTROL!$C$22, $C$13, 100%, $E$13)</f>
        <v>8.1882000000000001</v>
      </c>
      <c r="J260" s="68">
        <f>5.3707 * CHOOSE(CONTROL!$C$22, $C$13, 100%, $E$13)</f>
        <v>5.3707000000000003</v>
      </c>
      <c r="K260" s="68">
        <f>5.3754 * CHOOSE(CONTROL!$C$22, $C$13, 100%, $E$13)</f>
        <v>5.3754</v>
      </c>
    </row>
    <row r="261" spans="1:11" ht="15">
      <c r="A261" s="13">
        <v>49065</v>
      </c>
      <c r="B261" s="67">
        <f>4.3861 * CHOOSE(CONTROL!$C$22, $C$13, 100%, $E$13)</f>
        <v>4.3860999999999999</v>
      </c>
      <c r="C261" s="67">
        <f>4.3861 * CHOOSE(CONTROL!$C$22, $C$13, 100%, $E$13)</f>
        <v>4.3860999999999999</v>
      </c>
      <c r="D261" s="67">
        <f>4.3916 * CHOOSE(CONTROL!$C$22, $C$13, 100%, $E$13)</f>
        <v>4.3916000000000004</v>
      </c>
      <c r="E261" s="68">
        <f>5.3973 * CHOOSE(CONTROL!$C$22, $C$13, 100%, $E$13)</f>
        <v>5.3973000000000004</v>
      </c>
      <c r="F261" s="68">
        <f>5.3973 * CHOOSE(CONTROL!$C$22, $C$13, 100%, $E$13)</f>
        <v>5.3973000000000004</v>
      </c>
      <c r="G261" s="68">
        <f>5.404 * CHOOSE(CONTROL!$C$22, $C$13, 100%, $E$13)</f>
        <v>5.4039999999999999</v>
      </c>
      <c r="H261" s="68">
        <f>8.2004* CHOOSE(CONTROL!$C$22, $C$13, 100%, $E$13)</f>
        <v>8.2004000000000001</v>
      </c>
      <c r="I261" s="68">
        <f>8.2072 * CHOOSE(CONTROL!$C$22, $C$13, 100%, $E$13)</f>
        <v>8.2072000000000003</v>
      </c>
      <c r="J261" s="68">
        <f>5.3973 * CHOOSE(CONTROL!$C$22, $C$13, 100%, $E$13)</f>
        <v>5.3973000000000004</v>
      </c>
      <c r="K261" s="68">
        <f>5.404 * CHOOSE(CONTROL!$C$22, $C$13, 100%, $E$13)</f>
        <v>5.4039999999999999</v>
      </c>
    </row>
    <row r="262" spans="1:11" ht="15">
      <c r="A262" s="13">
        <v>49096</v>
      </c>
      <c r="B262" s="67">
        <f>4.3921 * CHOOSE(CONTROL!$C$22, $C$13, 100%, $E$13)</f>
        <v>4.3921000000000001</v>
      </c>
      <c r="C262" s="67">
        <f>4.3921 * CHOOSE(CONTROL!$C$22, $C$13, 100%, $E$13)</f>
        <v>4.3921000000000001</v>
      </c>
      <c r="D262" s="67">
        <f>4.3976 * CHOOSE(CONTROL!$C$22, $C$13, 100%, $E$13)</f>
        <v>4.3975999999999997</v>
      </c>
      <c r="E262" s="68">
        <f>5.3749 * CHOOSE(CONTROL!$C$22, $C$13, 100%, $E$13)</f>
        <v>5.3749000000000002</v>
      </c>
      <c r="F262" s="68">
        <f>5.3749 * CHOOSE(CONTROL!$C$22, $C$13, 100%, $E$13)</f>
        <v>5.3749000000000002</v>
      </c>
      <c r="G262" s="68">
        <f>5.3816 * CHOOSE(CONTROL!$C$22, $C$13, 100%, $E$13)</f>
        <v>5.3815999999999997</v>
      </c>
      <c r="H262" s="68">
        <f>8.2175* CHOOSE(CONTROL!$C$22, $C$13, 100%, $E$13)</f>
        <v>8.2174999999999994</v>
      </c>
      <c r="I262" s="68">
        <f>8.2243 * CHOOSE(CONTROL!$C$22, $C$13, 100%, $E$13)</f>
        <v>8.2242999999999995</v>
      </c>
      <c r="J262" s="68">
        <f>5.3749 * CHOOSE(CONTROL!$C$22, $C$13, 100%, $E$13)</f>
        <v>5.3749000000000002</v>
      </c>
      <c r="K262" s="68">
        <f>5.3816 * CHOOSE(CONTROL!$C$22, $C$13, 100%, $E$13)</f>
        <v>5.3815999999999997</v>
      </c>
    </row>
    <row r="263" spans="1:11" ht="15">
      <c r="A263" s="13">
        <v>49126</v>
      </c>
      <c r="B263" s="67">
        <f>4.4705 * CHOOSE(CONTROL!$C$22, $C$13, 100%, $E$13)</f>
        <v>4.4705000000000004</v>
      </c>
      <c r="C263" s="67">
        <f>4.4705 * CHOOSE(CONTROL!$C$22, $C$13, 100%, $E$13)</f>
        <v>4.4705000000000004</v>
      </c>
      <c r="D263" s="67">
        <f>4.476 * CHOOSE(CONTROL!$C$22, $C$13, 100%, $E$13)</f>
        <v>4.476</v>
      </c>
      <c r="E263" s="68">
        <f>5.4902 * CHOOSE(CONTROL!$C$22, $C$13, 100%, $E$13)</f>
        <v>5.4901999999999997</v>
      </c>
      <c r="F263" s="68">
        <f>5.4902 * CHOOSE(CONTROL!$C$22, $C$13, 100%, $E$13)</f>
        <v>5.4901999999999997</v>
      </c>
      <c r="G263" s="68">
        <f>5.497 * CHOOSE(CONTROL!$C$22, $C$13, 100%, $E$13)</f>
        <v>5.4969999999999999</v>
      </c>
      <c r="H263" s="68">
        <f>8.2346* CHOOSE(CONTROL!$C$22, $C$13, 100%, $E$13)</f>
        <v>8.2346000000000004</v>
      </c>
      <c r="I263" s="68">
        <f>8.2414 * CHOOSE(CONTROL!$C$22, $C$13, 100%, $E$13)</f>
        <v>8.2414000000000005</v>
      </c>
      <c r="J263" s="68">
        <f>5.4902 * CHOOSE(CONTROL!$C$22, $C$13, 100%, $E$13)</f>
        <v>5.4901999999999997</v>
      </c>
      <c r="K263" s="68">
        <f>5.497 * CHOOSE(CONTROL!$C$22, $C$13, 100%, $E$13)</f>
        <v>5.4969999999999999</v>
      </c>
    </row>
    <row r="264" spans="1:11" ht="15">
      <c r="A264" s="13">
        <v>49157</v>
      </c>
      <c r="B264" s="67">
        <f>4.4771 * CHOOSE(CONTROL!$C$22, $C$13, 100%, $E$13)</f>
        <v>4.4771000000000001</v>
      </c>
      <c r="C264" s="67">
        <f>4.4771 * CHOOSE(CONTROL!$C$22, $C$13, 100%, $E$13)</f>
        <v>4.4771000000000001</v>
      </c>
      <c r="D264" s="67">
        <f>4.4826 * CHOOSE(CONTROL!$C$22, $C$13, 100%, $E$13)</f>
        <v>4.4825999999999997</v>
      </c>
      <c r="E264" s="68">
        <f>5.4151 * CHOOSE(CONTROL!$C$22, $C$13, 100%, $E$13)</f>
        <v>5.4150999999999998</v>
      </c>
      <c r="F264" s="68">
        <f>5.4151 * CHOOSE(CONTROL!$C$22, $C$13, 100%, $E$13)</f>
        <v>5.4150999999999998</v>
      </c>
      <c r="G264" s="68">
        <f>5.4218 * CHOOSE(CONTROL!$C$22, $C$13, 100%, $E$13)</f>
        <v>5.4218000000000002</v>
      </c>
      <c r="H264" s="68">
        <f>8.2518* CHOOSE(CONTROL!$C$22, $C$13, 100%, $E$13)</f>
        <v>8.2517999999999994</v>
      </c>
      <c r="I264" s="68">
        <f>8.2585 * CHOOSE(CONTROL!$C$22, $C$13, 100%, $E$13)</f>
        <v>8.2584999999999997</v>
      </c>
      <c r="J264" s="68">
        <f>5.4151 * CHOOSE(CONTROL!$C$22, $C$13, 100%, $E$13)</f>
        <v>5.4150999999999998</v>
      </c>
      <c r="K264" s="68">
        <f>5.4218 * CHOOSE(CONTROL!$C$22, $C$13, 100%, $E$13)</f>
        <v>5.4218000000000002</v>
      </c>
    </row>
    <row r="265" spans="1:11" ht="15">
      <c r="A265" s="13">
        <v>49188</v>
      </c>
      <c r="B265" s="67">
        <f>4.4741 * CHOOSE(CONTROL!$C$22, $C$13, 100%, $E$13)</f>
        <v>4.4741</v>
      </c>
      <c r="C265" s="67">
        <f>4.4741 * CHOOSE(CONTROL!$C$22, $C$13, 100%, $E$13)</f>
        <v>4.4741</v>
      </c>
      <c r="D265" s="67">
        <f>4.4796 * CHOOSE(CONTROL!$C$22, $C$13, 100%, $E$13)</f>
        <v>4.4795999999999996</v>
      </c>
      <c r="E265" s="68">
        <f>5.4041 * CHOOSE(CONTROL!$C$22, $C$13, 100%, $E$13)</f>
        <v>5.4040999999999997</v>
      </c>
      <c r="F265" s="68">
        <f>5.4041 * CHOOSE(CONTROL!$C$22, $C$13, 100%, $E$13)</f>
        <v>5.4040999999999997</v>
      </c>
      <c r="G265" s="68">
        <f>5.4108 * CHOOSE(CONTROL!$C$22, $C$13, 100%, $E$13)</f>
        <v>5.4108000000000001</v>
      </c>
      <c r="H265" s="68">
        <f>8.269* CHOOSE(CONTROL!$C$22, $C$13, 100%, $E$13)</f>
        <v>8.2690000000000001</v>
      </c>
      <c r="I265" s="68">
        <f>8.2757 * CHOOSE(CONTROL!$C$22, $C$13, 100%, $E$13)</f>
        <v>8.2757000000000005</v>
      </c>
      <c r="J265" s="68">
        <f>5.4041 * CHOOSE(CONTROL!$C$22, $C$13, 100%, $E$13)</f>
        <v>5.4040999999999997</v>
      </c>
      <c r="K265" s="68">
        <f>5.4108 * CHOOSE(CONTROL!$C$22, $C$13, 100%, $E$13)</f>
        <v>5.4108000000000001</v>
      </c>
    </row>
    <row r="266" spans="1:11" ht="15">
      <c r="A266" s="13">
        <v>49218</v>
      </c>
      <c r="B266" s="67">
        <f>4.4707 * CHOOSE(CONTROL!$C$22, $C$13, 100%, $E$13)</f>
        <v>4.4706999999999999</v>
      </c>
      <c r="C266" s="67">
        <f>4.4707 * CHOOSE(CONTROL!$C$22, $C$13, 100%, $E$13)</f>
        <v>4.4706999999999999</v>
      </c>
      <c r="D266" s="67">
        <f>4.4746 * CHOOSE(CONTROL!$C$22, $C$13, 100%, $E$13)</f>
        <v>4.4745999999999997</v>
      </c>
      <c r="E266" s="68">
        <f>5.4261 * CHOOSE(CONTROL!$C$22, $C$13, 100%, $E$13)</f>
        <v>5.4260999999999999</v>
      </c>
      <c r="F266" s="68">
        <f>5.4261 * CHOOSE(CONTROL!$C$22, $C$13, 100%, $E$13)</f>
        <v>5.4260999999999999</v>
      </c>
      <c r="G266" s="68">
        <f>5.4309 * CHOOSE(CONTROL!$C$22, $C$13, 100%, $E$13)</f>
        <v>5.4309000000000003</v>
      </c>
      <c r="H266" s="68">
        <f>8.2862* CHOOSE(CONTROL!$C$22, $C$13, 100%, $E$13)</f>
        <v>8.2861999999999991</v>
      </c>
      <c r="I266" s="68">
        <f>8.291 * CHOOSE(CONTROL!$C$22, $C$13, 100%, $E$13)</f>
        <v>8.2910000000000004</v>
      </c>
      <c r="J266" s="68">
        <f>5.4261 * CHOOSE(CONTROL!$C$22, $C$13, 100%, $E$13)</f>
        <v>5.4260999999999999</v>
      </c>
      <c r="K266" s="68">
        <f>5.4309 * CHOOSE(CONTROL!$C$22, $C$13, 100%, $E$13)</f>
        <v>5.4309000000000003</v>
      </c>
    </row>
    <row r="267" spans="1:11" ht="15">
      <c r="A267" s="13">
        <v>49249</v>
      </c>
      <c r="B267" s="67">
        <f>4.4738 * CHOOSE(CONTROL!$C$22, $C$13, 100%, $E$13)</f>
        <v>4.4737999999999998</v>
      </c>
      <c r="C267" s="67">
        <f>4.4738 * CHOOSE(CONTROL!$C$22, $C$13, 100%, $E$13)</f>
        <v>4.4737999999999998</v>
      </c>
      <c r="D267" s="67">
        <f>4.4776 * CHOOSE(CONTROL!$C$22, $C$13, 100%, $E$13)</f>
        <v>4.4775999999999998</v>
      </c>
      <c r="E267" s="68">
        <f>5.446 * CHOOSE(CONTROL!$C$22, $C$13, 100%, $E$13)</f>
        <v>5.4459999999999997</v>
      </c>
      <c r="F267" s="68">
        <f>5.446 * CHOOSE(CONTROL!$C$22, $C$13, 100%, $E$13)</f>
        <v>5.4459999999999997</v>
      </c>
      <c r="G267" s="68">
        <f>5.4508 * CHOOSE(CONTROL!$C$22, $C$13, 100%, $E$13)</f>
        <v>5.4508000000000001</v>
      </c>
      <c r="H267" s="68">
        <f>8.3035* CHOOSE(CONTROL!$C$22, $C$13, 100%, $E$13)</f>
        <v>8.3034999999999997</v>
      </c>
      <c r="I267" s="68">
        <f>8.3082 * CHOOSE(CONTROL!$C$22, $C$13, 100%, $E$13)</f>
        <v>8.3081999999999994</v>
      </c>
      <c r="J267" s="68">
        <f>5.446 * CHOOSE(CONTROL!$C$22, $C$13, 100%, $E$13)</f>
        <v>5.4459999999999997</v>
      </c>
      <c r="K267" s="68">
        <f>5.4508 * CHOOSE(CONTROL!$C$22, $C$13, 100%, $E$13)</f>
        <v>5.4508000000000001</v>
      </c>
    </row>
    <row r="268" spans="1:11" ht="15">
      <c r="A268" s="13">
        <v>49279</v>
      </c>
      <c r="B268" s="67">
        <f>4.4738 * CHOOSE(CONTROL!$C$22, $C$13, 100%, $E$13)</f>
        <v>4.4737999999999998</v>
      </c>
      <c r="C268" s="67">
        <f>4.4738 * CHOOSE(CONTROL!$C$22, $C$13, 100%, $E$13)</f>
        <v>4.4737999999999998</v>
      </c>
      <c r="D268" s="67">
        <f>4.4776 * CHOOSE(CONTROL!$C$22, $C$13, 100%, $E$13)</f>
        <v>4.4775999999999998</v>
      </c>
      <c r="E268" s="68">
        <f>5.4016 * CHOOSE(CONTROL!$C$22, $C$13, 100%, $E$13)</f>
        <v>5.4016000000000002</v>
      </c>
      <c r="F268" s="68">
        <f>5.4016 * CHOOSE(CONTROL!$C$22, $C$13, 100%, $E$13)</f>
        <v>5.4016000000000002</v>
      </c>
      <c r="G268" s="68">
        <f>5.4064 * CHOOSE(CONTROL!$C$22, $C$13, 100%, $E$13)</f>
        <v>5.4063999999999997</v>
      </c>
      <c r="H268" s="68">
        <f>8.3208* CHOOSE(CONTROL!$C$22, $C$13, 100%, $E$13)</f>
        <v>8.3208000000000002</v>
      </c>
      <c r="I268" s="68">
        <f>8.3255 * CHOOSE(CONTROL!$C$22, $C$13, 100%, $E$13)</f>
        <v>8.3254999999999999</v>
      </c>
      <c r="J268" s="68">
        <f>5.4016 * CHOOSE(CONTROL!$C$22, $C$13, 100%, $E$13)</f>
        <v>5.4016000000000002</v>
      </c>
      <c r="K268" s="68">
        <f>5.4064 * CHOOSE(CONTROL!$C$22, $C$13, 100%, $E$13)</f>
        <v>5.4063999999999997</v>
      </c>
    </row>
    <row r="269" spans="1:11" ht="15">
      <c r="A269" s="13">
        <v>49310</v>
      </c>
      <c r="B269" s="67">
        <f>4.515 * CHOOSE(CONTROL!$C$22, $C$13, 100%, $E$13)</f>
        <v>4.5149999999999997</v>
      </c>
      <c r="C269" s="67">
        <f>4.515 * CHOOSE(CONTROL!$C$22, $C$13, 100%, $E$13)</f>
        <v>4.5149999999999997</v>
      </c>
      <c r="D269" s="67">
        <f>4.5188 * CHOOSE(CONTROL!$C$22, $C$13, 100%, $E$13)</f>
        <v>4.5187999999999997</v>
      </c>
      <c r="E269" s="68">
        <f>5.4889 * CHOOSE(CONTROL!$C$22, $C$13, 100%, $E$13)</f>
        <v>5.4889000000000001</v>
      </c>
      <c r="F269" s="68">
        <f>5.4889 * CHOOSE(CONTROL!$C$22, $C$13, 100%, $E$13)</f>
        <v>5.4889000000000001</v>
      </c>
      <c r="G269" s="68">
        <f>5.4936 * CHOOSE(CONTROL!$C$22, $C$13, 100%, $E$13)</f>
        <v>5.4935999999999998</v>
      </c>
      <c r="H269" s="68">
        <f>8.3381* CHOOSE(CONTROL!$C$22, $C$13, 100%, $E$13)</f>
        <v>8.3381000000000007</v>
      </c>
      <c r="I269" s="68">
        <f>8.3429 * CHOOSE(CONTROL!$C$22, $C$13, 100%, $E$13)</f>
        <v>8.3429000000000002</v>
      </c>
      <c r="J269" s="68">
        <f>5.4889 * CHOOSE(CONTROL!$C$22, $C$13, 100%, $E$13)</f>
        <v>5.4889000000000001</v>
      </c>
      <c r="K269" s="68">
        <f>5.4936 * CHOOSE(CONTROL!$C$22, $C$13, 100%, $E$13)</f>
        <v>5.4935999999999998</v>
      </c>
    </row>
    <row r="270" spans="1:11" ht="15">
      <c r="A270" s="13">
        <v>49341</v>
      </c>
      <c r="B270" s="67">
        <f>4.5119 * CHOOSE(CONTROL!$C$22, $C$13, 100%, $E$13)</f>
        <v>4.5118999999999998</v>
      </c>
      <c r="C270" s="67">
        <f>4.5119 * CHOOSE(CONTROL!$C$22, $C$13, 100%, $E$13)</f>
        <v>4.5118999999999998</v>
      </c>
      <c r="D270" s="67">
        <f>4.5158 * CHOOSE(CONTROL!$C$22, $C$13, 100%, $E$13)</f>
        <v>4.5157999999999996</v>
      </c>
      <c r="E270" s="68">
        <f>5.4007 * CHOOSE(CONTROL!$C$22, $C$13, 100%, $E$13)</f>
        <v>5.4006999999999996</v>
      </c>
      <c r="F270" s="68">
        <f>5.4007 * CHOOSE(CONTROL!$C$22, $C$13, 100%, $E$13)</f>
        <v>5.4006999999999996</v>
      </c>
      <c r="G270" s="68">
        <f>5.4055 * CHOOSE(CONTROL!$C$22, $C$13, 100%, $E$13)</f>
        <v>5.4055</v>
      </c>
      <c r="H270" s="68">
        <f>8.3555* CHOOSE(CONTROL!$C$22, $C$13, 100%, $E$13)</f>
        <v>8.3554999999999993</v>
      </c>
      <c r="I270" s="68">
        <f>8.3602 * CHOOSE(CONTROL!$C$22, $C$13, 100%, $E$13)</f>
        <v>8.3602000000000007</v>
      </c>
      <c r="J270" s="68">
        <f>5.4007 * CHOOSE(CONTROL!$C$22, $C$13, 100%, $E$13)</f>
        <v>5.4006999999999996</v>
      </c>
      <c r="K270" s="68">
        <f>5.4055 * CHOOSE(CONTROL!$C$22, $C$13, 100%, $E$13)</f>
        <v>5.4055</v>
      </c>
    </row>
    <row r="271" spans="1:11" ht="15">
      <c r="A271" s="13">
        <v>49369</v>
      </c>
      <c r="B271" s="67">
        <f>4.5089 * CHOOSE(CONTROL!$C$22, $C$13, 100%, $E$13)</f>
        <v>4.5088999999999997</v>
      </c>
      <c r="C271" s="67">
        <f>4.5089 * CHOOSE(CONTROL!$C$22, $C$13, 100%, $E$13)</f>
        <v>4.5088999999999997</v>
      </c>
      <c r="D271" s="67">
        <f>4.5128 * CHOOSE(CONTROL!$C$22, $C$13, 100%, $E$13)</f>
        <v>4.5128000000000004</v>
      </c>
      <c r="E271" s="68">
        <f>5.4664 * CHOOSE(CONTROL!$C$22, $C$13, 100%, $E$13)</f>
        <v>5.4664000000000001</v>
      </c>
      <c r="F271" s="68">
        <f>5.4664 * CHOOSE(CONTROL!$C$22, $C$13, 100%, $E$13)</f>
        <v>5.4664000000000001</v>
      </c>
      <c r="G271" s="68">
        <f>5.4712 * CHOOSE(CONTROL!$C$22, $C$13, 100%, $E$13)</f>
        <v>5.4711999999999996</v>
      </c>
      <c r="H271" s="68">
        <f>8.3729* CHOOSE(CONTROL!$C$22, $C$13, 100%, $E$13)</f>
        <v>8.3728999999999996</v>
      </c>
      <c r="I271" s="68">
        <f>8.3777 * CHOOSE(CONTROL!$C$22, $C$13, 100%, $E$13)</f>
        <v>8.3777000000000008</v>
      </c>
      <c r="J271" s="68">
        <f>5.4664 * CHOOSE(CONTROL!$C$22, $C$13, 100%, $E$13)</f>
        <v>5.4664000000000001</v>
      </c>
      <c r="K271" s="68">
        <f>5.4712 * CHOOSE(CONTROL!$C$22, $C$13, 100%, $E$13)</f>
        <v>5.4711999999999996</v>
      </c>
    </row>
    <row r="272" spans="1:11" ht="15">
      <c r="A272" s="13">
        <v>49400</v>
      </c>
      <c r="B272" s="67">
        <f>4.507 * CHOOSE(CONTROL!$C$22, $C$13, 100%, $E$13)</f>
        <v>4.5069999999999997</v>
      </c>
      <c r="C272" s="67">
        <f>4.507 * CHOOSE(CONTROL!$C$22, $C$13, 100%, $E$13)</f>
        <v>4.5069999999999997</v>
      </c>
      <c r="D272" s="67">
        <f>4.5108 * CHOOSE(CONTROL!$C$22, $C$13, 100%, $E$13)</f>
        <v>4.5107999999999997</v>
      </c>
      <c r="E272" s="68">
        <f>5.535 * CHOOSE(CONTROL!$C$22, $C$13, 100%, $E$13)</f>
        <v>5.5350000000000001</v>
      </c>
      <c r="F272" s="68">
        <f>5.535 * CHOOSE(CONTROL!$C$22, $C$13, 100%, $E$13)</f>
        <v>5.5350000000000001</v>
      </c>
      <c r="G272" s="68">
        <f>5.5398 * CHOOSE(CONTROL!$C$22, $C$13, 100%, $E$13)</f>
        <v>5.5397999999999996</v>
      </c>
      <c r="H272" s="68">
        <f>8.3903* CHOOSE(CONTROL!$C$22, $C$13, 100%, $E$13)</f>
        <v>8.3902999999999999</v>
      </c>
      <c r="I272" s="68">
        <f>8.3951 * CHOOSE(CONTROL!$C$22, $C$13, 100%, $E$13)</f>
        <v>8.3950999999999993</v>
      </c>
      <c r="J272" s="68">
        <f>5.535 * CHOOSE(CONTROL!$C$22, $C$13, 100%, $E$13)</f>
        <v>5.5350000000000001</v>
      </c>
      <c r="K272" s="68">
        <f>5.5398 * CHOOSE(CONTROL!$C$22, $C$13, 100%, $E$13)</f>
        <v>5.5397999999999996</v>
      </c>
    </row>
    <row r="273" spans="1:11" ht="15">
      <c r="A273" s="13">
        <v>49430</v>
      </c>
      <c r="B273" s="67">
        <f>4.507 * CHOOSE(CONTROL!$C$22, $C$13, 100%, $E$13)</f>
        <v>4.5069999999999997</v>
      </c>
      <c r="C273" s="67">
        <f>4.507 * CHOOSE(CONTROL!$C$22, $C$13, 100%, $E$13)</f>
        <v>4.5069999999999997</v>
      </c>
      <c r="D273" s="67">
        <f>4.5125 * CHOOSE(CONTROL!$C$22, $C$13, 100%, $E$13)</f>
        <v>4.5125000000000002</v>
      </c>
      <c r="E273" s="68">
        <f>5.5623 * CHOOSE(CONTROL!$C$22, $C$13, 100%, $E$13)</f>
        <v>5.5622999999999996</v>
      </c>
      <c r="F273" s="68">
        <f>5.5623 * CHOOSE(CONTROL!$C$22, $C$13, 100%, $E$13)</f>
        <v>5.5622999999999996</v>
      </c>
      <c r="G273" s="68">
        <f>5.5691 * CHOOSE(CONTROL!$C$22, $C$13, 100%, $E$13)</f>
        <v>5.5690999999999997</v>
      </c>
      <c r="H273" s="68">
        <f>8.4078* CHOOSE(CONTROL!$C$22, $C$13, 100%, $E$13)</f>
        <v>8.4077999999999999</v>
      </c>
      <c r="I273" s="68">
        <f>8.4145 * CHOOSE(CONTROL!$C$22, $C$13, 100%, $E$13)</f>
        <v>8.4145000000000003</v>
      </c>
      <c r="J273" s="68">
        <f>5.5623 * CHOOSE(CONTROL!$C$22, $C$13, 100%, $E$13)</f>
        <v>5.5622999999999996</v>
      </c>
      <c r="K273" s="68">
        <f>5.5691 * CHOOSE(CONTROL!$C$22, $C$13, 100%, $E$13)</f>
        <v>5.5690999999999997</v>
      </c>
    </row>
    <row r="274" spans="1:11" ht="15">
      <c r="A274" s="13">
        <v>49461</v>
      </c>
      <c r="B274" s="67">
        <f>4.5131 * CHOOSE(CONTROL!$C$22, $C$13, 100%, $E$13)</f>
        <v>4.5130999999999997</v>
      </c>
      <c r="C274" s="67">
        <f>4.5131 * CHOOSE(CONTROL!$C$22, $C$13, 100%, $E$13)</f>
        <v>4.5130999999999997</v>
      </c>
      <c r="D274" s="67">
        <f>4.5186 * CHOOSE(CONTROL!$C$22, $C$13, 100%, $E$13)</f>
        <v>4.5186000000000002</v>
      </c>
      <c r="E274" s="68">
        <f>5.5393 * CHOOSE(CONTROL!$C$22, $C$13, 100%, $E$13)</f>
        <v>5.5392999999999999</v>
      </c>
      <c r="F274" s="68">
        <f>5.5393 * CHOOSE(CONTROL!$C$22, $C$13, 100%, $E$13)</f>
        <v>5.5392999999999999</v>
      </c>
      <c r="G274" s="68">
        <f>5.546 * CHOOSE(CONTROL!$C$22, $C$13, 100%, $E$13)</f>
        <v>5.5460000000000003</v>
      </c>
      <c r="H274" s="68">
        <f>8.4253* CHOOSE(CONTROL!$C$22, $C$13, 100%, $E$13)</f>
        <v>8.4253</v>
      </c>
      <c r="I274" s="68">
        <f>8.4321 * CHOOSE(CONTROL!$C$22, $C$13, 100%, $E$13)</f>
        <v>8.4321000000000002</v>
      </c>
      <c r="J274" s="68">
        <f>5.5393 * CHOOSE(CONTROL!$C$22, $C$13, 100%, $E$13)</f>
        <v>5.5392999999999999</v>
      </c>
      <c r="K274" s="68">
        <f>5.546 * CHOOSE(CONTROL!$C$22, $C$13, 100%, $E$13)</f>
        <v>5.5460000000000003</v>
      </c>
    </row>
    <row r="275" spans="1:11" ht="15">
      <c r="A275" s="13">
        <v>49491</v>
      </c>
      <c r="B275" s="67">
        <f>4.5909 * CHOOSE(CONTROL!$C$22, $C$13, 100%, $E$13)</f>
        <v>4.5909000000000004</v>
      </c>
      <c r="C275" s="67">
        <f>4.5909 * CHOOSE(CONTROL!$C$22, $C$13, 100%, $E$13)</f>
        <v>4.5909000000000004</v>
      </c>
      <c r="D275" s="67">
        <f>4.5964 * CHOOSE(CONTROL!$C$22, $C$13, 100%, $E$13)</f>
        <v>4.5964</v>
      </c>
      <c r="E275" s="68">
        <f>5.6624 * CHOOSE(CONTROL!$C$22, $C$13, 100%, $E$13)</f>
        <v>5.6623999999999999</v>
      </c>
      <c r="F275" s="68">
        <f>5.6624 * CHOOSE(CONTROL!$C$22, $C$13, 100%, $E$13)</f>
        <v>5.6623999999999999</v>
      </c>
      <c r="G275" s="68">
        <f>5.6691 * CHOOSE(CONTROL!$C$22, $C$13, 100%, $E$13)</f>
        <v>5.6691000000000003</v>
      </c>
      <c r="H275" s="68">
        <f>8.4429* CHOOSE(CONTROL!$C$22, $C$13, 100%, $E$13)</f>
        <v>8.4428999999999998</v>
      </c>
      <c r="I275" s="68">
        <f>8.4496 * CHOOSE(CONTROL!$C$22, $C$13, 100%, $E$13)</f>
        <v>8.4496000000000002</v>
      </c>
      <c r="J275" s="68">
        <f>5.6624 * CHOOSE(CONTROL!$C$22, $C$13, 100%, $E$13)</f>
        <v>5.6623999999999999</v>
      </c>
      <c r="K275" s="68">
        <f>5.6691 * CHOOSE(CONTROL!$C$22, $C$13, 100%, $E$13)</f>
        <v>5.6691000000000003</v>
      </c>
    </row>
    <row r="276" spans="1:11" ht="15">
      <c r="A276" s="13">
        <v>49522</v>
      </c>
      <c r="B276" s="67">
        <f>4.5975 * CHOOSE(CONTROL!$C$22, $C$13, 100%, $E$13)</f>
        <v>4.5975000000000001</v>
      </c>
      <c r="C276" s="67">
        <f>4.5975 * CHOOSE(CONTROL!$C$22, $C$13, 100%, $E$13)</f>
        <v>4.5975000000000001</v>
      </c>
      <c r="D276" s="67">
        <f>4.6031 * CHOOSE(CONTROL!$C$22, $C$13, 100%, $E$13)</f>
        <v>4.6031000000000004</v>
      </c>
      <c r="E276" s="68">
        <f>5.5851 * CHOOSE(CONTROL!$C$22, $C$13, 100%, $E$13)</f>
        <v>5.5850999999999997</v>
      </c>
      <c r="F276" s="68">
        <f>5.5851 * CHOOSE(CONTROL!$C$22, $C$13, 100%, $E$13)</f>
        <v>5.5850999999999997</v>
      </c>
      <c r="G276" s="68">
        <f>5.5918 * CHOOSE(CONTROL!$C$22, $C$13, 100%, $E$13)</f>
        <v>5.5918000000000001</v>
      </c>
      <c r="H276" s="68">
        <f>8.4605* CHOOSE(CONTROL!$C$22, $C$13, 100%, $E$13)</f>
        <v>8.4604999999999997</v>
      </c>
      <c r="I276" s="68">
        <f>8.4672 * CHOOSE(CONTROL!$C$22, $C$13, 100%, $E$13)</f>
        <v>8.4672000000000001</v>
      </c>
      <c r="J276" s="68">
        <f>5.5851 * CHOOSE(CONTROL!$C$22, $C$13, 100%, $E$13)</f>
        <v>5.5850999999999997</v>
      </c>
      <c r="K276" s="68">
        <f>5.5918 * CHOOSE(CONTROL!$C$22, $C$13, 100%, $E$13)</f>
        <v>5.5918000000000001</v>
      </c>
    </row>
    <row r="277" spans="1:11" ht="15">
      <c r="A277" s="13">
        <v>49553</v>
      </c>
      <c r="B277" s="67">
        <f>4.5945 * CHOOSE(CONTROL!$C$22, $C$13, 100%, $E$13)</f>
        <v>4.5945</v>
      </c>
      <c r="C277" s="67">
        <f>4.5945 * CHOOSE(CONTROL!$C$22, $C$13, 100%, $E$13)</f>
        <v>4.5945</v>
      </c>
      <c r="D277" s="67">
        <f>4.6 * CHOOSE(CONTROL!$C$22, $C$13, 100%, $E$13)</f>
        <v>4.5999999999999996</v>
      </c>
      <c r="E277" s="68">
        <f>5.5739 * CHOOSE(CONTROL!$C$22, $C$13, 100%, $E$13)</f>
        <v>5.5739000000000001</v>
      </c>
      <c r="F277" s="68">
        <f>5.5739 * CHOOSE(CONTROL!$C$22, $C$13, 100%, $E$13)</f>
        <v>5.5739000000000001</v>
      </c>
      <c r="G277" s="68">
        <f>5.5806 * CHOOSE(CONTROL!$C$22, $C$13, 100%, $E$13)</f>
        <v>5.5805999999999996</v>
      </c>
      <c r="H277" s="68">
        <f>8.4781* CHOOSE(CONTROL!$C$22, $C$13, 100%, $E$13)</f>
        <v>8.4780999999999995</v>
      </c>
      <c r="I277" s="68">
        <f>8.4848 * CHOOSE(CONTROL!$C$22, $C$13, 100%, $E$13)</f>
        <v>8.4847999999999999</v>
      </c>
      <c r="J277" s="68">
        <f>5.5739 * CHOOSE(CONTROL!$C$22, $C$13, 100%, $E$13)</f>
        <v>5.5739000000000001</v>
      </c>
      <c r="K277" s="68">
        <f>5.5806 * CHOOSE(CONTROL!$C$22, $C$13, 100%, $E$13)</f>
        <v>5.5805999999999996</v>
      </c>
    </row>
    <row r="278" spans="1:11" ht="15">
      <c r="A278" s="13">
        <v>49583</v>
      </c>
      <c r="B278" s="67">
        <f>4.5915 * CHOOSE(CONTROL!$C$22, $C$13, 100%, $E$13)</f>
        <v>4.5914999999999999</v>
      </c>
      <c r="C278" s="67">
        <f>4.5915 * CHOOSE(CONTROL!$C$22, $C$13, 100%, $E$13)</f>
        <v>4.5914999999999999</v>
      </c>
      <c r="D278" s="67">
        <f>4.5954 * CHOOSE(CONTROL!$C$22, $C$13, 100%, $E$13)</f>
        <v>4.5953999999999997</v>
      </c>
      <c r="E278" s="68">
        <f>5.5969 * CHOOSE(CONTROL!$C$22, $C$13, 100%, $E$13)</f>
        <v>5.5968999999999998</v>
      </c>
      <c r="F278" s="68">
        <f>5.5969 * CHOOSE(CONTROL!$C$22, $C$13, 100%, $E$13)</f>
        <v>5.5968999999999998</v>
      </c>
      <c r="G278" s="68">
        <f>5.6016 * CHOOSE(CONTROL!$C$22, $C$13, 100%, $E$13)</f>
        <v>5.6016000000000004</v>
      </c>
      <c r="H278" s="68">
        <f>8.4958* CHOOSE(CONTROL!$C$22, $C$13, 100%, $E$13)</f>
        <v>8.4957999999999991</v>
      </c>
      <c r="I278" s="68">
        <f>8.5005 * CHOOSE(CONTROL!$C$22, $C$13, 100%, $E$13)</f>
        <v>8.5005000000000006</v>
      </c>
      <c r="J278" s="68">
        <f>5.5969 * CHOOSE(CONTROL!$C$22, $C$13, 100%, $E$13)</f>
        <v>5.5968999999999998</v>
      </c>
      <c r="K278" s="68">
        <f>5.6016 * CHOOSE(CONTROL!$C$22, $C$13, 100%, $E$13)</f>
        <v>5.6016000000000004</v>
      </c>
    </row>
    <row r="279" spans="1:11" ht="15">
      <c r="A279" s="13">
        <v>49614</v>
      </c>
      <c r="B279" s="67">
        <f>4.5946 * CHOOSE(CONTROL!$C$22, $C$13, 100%, $E$13)</f>
        <v>4.5945999999999998</v>
      </c>
      <c r="C279" s="67">
        <f>4.5946 * CHOOSE(CONTROL!$C$22, $C$13, 100%, $E$13)</f>
        <v>4.5945999999999998</v>
      </c>
      <c r="D279" s="67">
        <f>4.5984 * CHOOSE(CONTROL!$C$22, $C$13, 100%, $E$13)</f>
        <v>4.5983999999999998</v>
      </c>
      <c r="E279" s="68">
        <f>5.6172 * CHOOSE(CONTROL!$C$22, $C$13, 100%, $E$13)</f>
        <v>5.6172000000000004</v>
      </c>
      <c r="F279" s="68">
        <f>5.6172 * CHOOSE(CONTROL!$C$22, $C$13, 100%, $E$13)</f>
        <v>5.6172000000000004</v>
      </c>
      <c r="G279" s="68">
        <f>5.622 * CHOOSE(CONTROL!$C$22, $C$13, 100%, $E$13)</f>
        <v>5.6219999999999999</v>
      </c>
      <c r="H279" s="68">
        <f>8.5135* CHOOSE(CONTROL!$C$22, $C$13, 100%, $E$13)</f>
        <v>8.5135000000000005</v>
      </c>
      <c r="I279" s="68">
        <f>8.5182 * CHOOSE(CONTROL!$C$22, $C$13, 100%, $E$13)</f>
        <v>8.5182000000000002</v>
      </c>
      <c r="J279" s="68">
        <f>5.6172 * CHOOSE(CONTROL!$C$22, $C$13, 100%, $E$13)</f>
        <v>5.6172000000000004</v>
      </c>
      <c r="K279" s="68">
        <f>5.622 * CHOOSE(CONTROL!$C$22, $C$13, 100%, $E$13)</f>
        <v>5.6219999999999999</v>
      </c>
    </row>
    <row r="280" spans="1:11" ht="15">
      <c r="A280" s="13">
        <v>49644</v>
      </c>
      <c r="B280" s="67">
        <f>4.5946 * CHOOSE(CONTROL!$C$22, $C$13, 100%, $E$13)</f>
        <v>4.5945999999999998</v>
      </c>
      <c r="C280" s="67">
        <f>4.5946 * CHOOSE(CONTROL!$C$22, $C$13, 100%, $E$13)</f>
        <v>4.5945999999999998</v>
      </c>
      <c r="D280" s="67">
        <f>4.5984 * CHOOSE(CONTROL!$C$22, $C$13, 100%, $E$13)</f>
        <v>4.5983999999999998</v>
      </c>
      <c r="E280" s="68">
        <f>5.5717 * CHOOSE(CONTROL!$C$22, $C$13, 100%, $E$13)</f>
        <v>5.5716999999999999</v>
      </c>
      <c r="F280" s="68">
        <f>5.5717 * CHOOSE(CONTROL!$C$22, $C$13, 100%, $E$13)</f>
        <v>5.5716999999999999</v>
      </c>
      <c r="G280" s="68">
        <f>5.5764 * CHOOSE(CONTROL!$C$22, $C$13, 100%, $E$13)</f>
        <v>5.5763999999999996</v>
      </c>
      <c r="H280" s="68">
        <f>8.5312* CHOOSE(CONTROL!$C$22, $C$13, 100%, $E$13)</f>
        <v>8.5312000000000001</v>
      </c>
      <c r="I280" s="68">
        <f>8.536 * CHOOSE(CONTROL!$C$22, $C$13, 100%, $E$13)</f>
        <v>8.5359999999999996</v>
      </c>
      <c r="J280" s="68">
        <f>5.5717 * CHOOSE(CONTROL!$C$22, $C$13, 100%, $E$13)</f>
        <v>5.5716999999999999</v>
      </c>
      <c r="K280" s="68">
        <f>5.5764 * CHOOSE(CONTROL!$C$22, $C$13, 100%, $E$13)</f>
        <v>5.5763999999999996</v>
      </c>
    </row>
    <row r="281" spans="1:11" ht="15">
      <c r="A281" s="13">
        <v>49675</v>
      </c>
      <c r="B281" s="67">
        <f>4.6362 * CHOOSE(CONTROL!$C$22, $C$13, 100%, $E$13)</f>
        <v>4.6361999999999997</v>
      </c>
      <c r="C281" s="67">
        <f>4.6362 * CHOOSE(CONTROL!$C$22, $C$13, 100%, $E$13)</f>
        <v>4.6361999999999997</v>
      </c>
      <c r="D281" s="67">
        <f>4.6401 * CHOOSE(CONTROL!$C$22, $C$13, 100%, $E$13)</f>
        <v>4.6401000000000003</v>
      </c>
      <c r="E281" s="68">
        <f>5.6558 * CHOOSE(CONTROL!$C$22, $C$13, 100%, $E$13)</f>
        <v>5.6558000000000002</v>
      </c>
      <c r="F281" s="68">
        <f>5.6558 * CHOOSE(CONTROL!$C$22, $C$13, 100%, $E$13)</f>
        <v>5.6558000000000002</v>
      </c>
      <c r="G281" s="68">
        <f>5.6606 * CHOOSE(CONTROL!$C$22, $C$13, 100%, $E$13)</f>
        <v>5.6605999999999996</v>
      </c>
      <c r="H281" s="68">
        <f>8.549* CHOOSE(CONTROL!$C$22, $C$13, 100%, $E$13)</f>
        <v>8.5489999999999995</v>
      </c>
      <c r="I281" s="68">
        <f>8.5537 * CHOOSE(CONTROL!$C$22, $C$13, 100%, $E$13)</f>
        <v>8.5536999999999992</v>
      </c>
      <c r="J281" s="68">
        <f>5.6558 * CHOOSE(CONTROL!$C$22, $C$13, 100%, $E$13)</f>
        <v>5.6558000000000002</v>
      </c>
      <c r="K281" s="68">
        <f>5.6606 * CHOOSE(CONTROL!$C$22, $C$13, 100%, $E$13)</f>
        <v>5.6605999999999996</v>
      </c>
    </row>
    <row r="282" spans="1:11" ht="15">
      <c r="A282" s="13">
        <v>49706</v>
      </c>
      <c r="B282" s="67">
        <f>4.6332 * CHOOSE(CONTROL!$C$22, $C$13, 100%, $E$13)</f>
        <v>4.6332000000000004</v>
      </c>
      <c r="C282" s="67">
        <f>4.6332 * CHOOSE(CONTROL!$C$22, $C$13, 100%, $E$13)</f>
        <v>4.6332000000000004</v>
      </c>
      <c r="D282" s="67">
        <f>4.637 * CHOOSE(CONTROL!$C$22, $C$13, 100%, $E$13)</f>
        <v>4.6369999999999996</v>
      </c>
      <c r="E282" s="68">
        <f>5.5653 * CHOOSE(CONTROL!$C$22, $C$13, 100%, $E$13)</f>
        <v>5.5652999999999997</v>
      </c>
      <c r="F282" s="68">
        <f>5.5653 * CHOOSE(CONTROL!$C$22, $C$13, 100%, $E$13)</f>
        <v>5.5652999999999997</v>
      </c>
      <c r="G282" s="68">
        <f>5.5701 * CHOOSE(CONTROL!$C$22, $C$13, 100%, $E$13)</f>
        <v>5.5701000000000001</v>
      </c>
      <c r="H282" s="68">
        <f>8.5668* CHOOSE(CONTROL!$C$22, $C$13, 100%, $E$13)</f>
        <v>8.5668000000000006</v>
      </c>
      <c r="I282" s="68">
        <f>8.5715 * CHOOSE(CONTROL!$C$22, $C$13, 100%, $E$13)</f>
        <v>8.5715000000000003</v>
      </c>
      <c r="J282" s="68">
        <f>5.5653 * CHOOSE(CONTROL!$C$22, $C$13, 100%, $E$13)</f>
        <v>5.5652999999999997</v>
      </c>
      <c r="K282" s="68">
        <f>5.5701 * CHOOSE(CONTROL!$C$22, $C$13, 100%, $E$13)</f>
        <v>5.5701000000000001</v>
      </c>
    </row>
    <row r="283" spans="1:11" ht="15">
      <c r="A283" s="13">
        <v>49735</v>
      </c>
      <c r="B283" s="67">
        <f>4.6301 * CHOOSE(CONTROL!$C$22, $C$13, 100%, $E$13)</f>
        <v>4.6300999999999997</v>
      </c>
      <c r="C283" s="67">
        <f>4.6301 * CHOOSE(CONTROL!$C$22, $C$13, 100%, $E$13)</f>
        <v>4.6300999999999997</v>
      </c>
      <c r="D283" s="67">
        <f>4.634 * CHOOSE(CONTROL!$C$22, $C$13, 100%, $E$13)</f>
        <v>4.6340000000000003</v>
      </c>
      <c r="E283" s="68">
        <f>5.6329 * CHOOSE(CONTROL!$C$22, $C$13, 100%, $E$13)</f>
        <v>5.6329000000000002</v>
      </c>
      <c r="F283" s="68">
        <f>5.6329 * CHOOSE(CONTROL!$C$22, $C$13, 100%, $E$13)</f>
        <v>5.6329000000000002</v>
      </c>
      <c r="G283" s="68">
        <f>5.6377 * CHOOSE(CONTROL!$C$22, $C$13, 100%, $E$13)</f>
        <v>5.6376999999999997</v>
      </c>
      <c r="H283" s="68">
        <f>8.5846* CHOOSE(CONTROL!$C$22, $C$13, 100%, $E$13)</f>
        <v>8.5846</v>
      </c>
      <c r="I283" s="68">
        <f>8.5894 * CHOOSE(CONTROL!$C$22, $C$13, 100%, $E$13)</f>
        <v>8.5893999999999995</v>
      </c>
      <c r="J283" s="68">
        <f>5.6329 * CHOOSE(CONTROL!$C$22, $C$13, 100%, $E$13)</f>
        <v>5.6329000000000002</v>
      </c>
      <c r="K283" s="68">
        <f>5.6377 * CHOOSE(CONTROL!$C$22, $C$13, 100%, $E$13)</f>
        <v>5.6376999999999997</v>
      </c>
    </row>
    <row r="284" spans="1:11" ht="15">
      <c r="A284" s="13">
        <v>49766</v>
      </c>
      <c r="B284" s="67">
        <f>4.6283 * CHOOSE(CONTROL!$C$22, $C$13, 100%, $E$13)</f>
        <v>4.6283000000000003</v>
      </c>
      <c r="C284" s="67">
        <f>4.6283 * CHOOSE(CONTROL!$C$22, $C$13, 100%, $E$13)</f>
        <v>4.6283000000000003</v>
      </c>
      <c r="D284" s="67">
        <f>4.6322 * CHOOSE(CONTROL!$C$22, $C$13, 100%, $E$13)</f>
        <v>4.6322000000000001</v>
      </c>
      <c r="E284" s="68">
        <f>5.7035 * CHOOSE(CONTROL!$C$22, $C$13, 100%, $E$13)</f>
        <v>5.7035</v>
      </c>
      <c r="F284" s="68">
        <f>5.7035 * CHOOSE(CONTROL!$C$22, $C$13, 100%, $E$13)</f>
        <v>5.7035</v>
      </c>
      <c r="G284" s="68">
        <f>5.7082 * CHOOSE(CONTROL!$C$22, $C$13, 100%, $E$13)</f>
        <v>5.7081999999999997</v>
      </c>
      <c r="H284" s="68">
        <f>8.6025* CHOOSE(CONTROL!$C$22, $C$13, 100%, $E$13)</f>
        <v>8.6024999999999991</v>
      </c>
      <c r="I284" s="68">
        <f>8.6073 * CHOOSE(CONTROL!$C$22, $C$13, 100%, $E$13)</f>
        <v>8.6073000000000004</v>
      </c>
      <c r="J284" s="68">
        <f>5.7035 * CHOOSE(CONTROL!$C$22, $C$13, 100%, $E$13)</f>
        <v>5.7035</v>
      </c>
      <c r="K284" s="68">
        <f>5.7082 * CHOOSE(CONTROL!$C$22, $C$13, 100%, $E$13)</f>
        <v>5.7081999999999997</v>
      </c>
    </row>
    <row r="285" spans="1:11" ht="15">
      <c r="A285" s="13">
        <v>49796</v>
      </c>
      <c r="B285" s="67">
        <f>4.6283 * CHOOSE(CONTROL!$C$22, $C$13, 100%, $E$13)</f>
        <v>4.6283000000000003</v>
      </c>
      <c r="C285" s="67">
        <f>4.6283 * CHOOSE(CONTROL!$C$22, $C$13, 100%, $E$13)</f>
        <v>4.6283000000000003</v>
      </c>
      <c r="D285" s="67">
        <f>4.6338 * CHOOSE(CONTROL!$C$22, $C$13, 100%, $E$13)</f>
        <v>4.6337999999999999</v>
      </c>
      <c r="E285" s="68">
        <f>5.7315 * CHOOSE(CONTROL!$C$22, $C$13, 100%, $E$13)</f>
        <v>5.7314999999999996</v>
      </c>
      <c r="F285" s="68">
        <f>5.7315 * CHOOSE(CONTROL!$C$22, $C$13, 100%, $E$13)</f>
        <v>5.7314999999999996</v>
      </c>
      <c r="G285" s="68">
        <f>5.7383 * CHOOSE(CONTROL!$C$22, $C$13, 100%, $E$13)</f>
        <v>5.7382999999999997</v>
      </c>
      <c r="H285" s="68">
        <f>8.6204* CHOOSE(CONTROL!$C$22, $C$13, 100%, $E$13)</f>
        <v>8.6204000000000001</v>
      </c>
      <c r="I285" s="68">
        <f>8.6272 * CHOOSE(CONTROL!$C$22, $C$13, 100%, $E$13)</f>
        <v>8.6272000000000002</v>
      </c>
      <c r="J285" s="68">
        <f>5.7315 * CHOOSE(CONTROL!$C$22, $C$13, 100%, $E$13)</f>
        <v>5.7314999999999996</v>
      </c>
      <c r="K285" s="68">
        <f>5.7383 * CHOOSE(CONTROL!$C$22, $C$13, 100%, $E$13)</f>
        <v>5.7382999999999997</v>
      </c>
    </row>
    <row r="286" spans="1:11" ht="15">
      <c r="A286" s="13">
        <v>49827</v>
      </c>
      <c r="B286" s="67">
        <f>4.6344 * CHOOSE(CONTROL!$C$22, $C$13, 100%, $E$13)</f>
        <v>4.6344000000000003</v>
      </c>
      <c r="C286" s="67">
        <f>4.6344 * CHOOSE(CONTROL!$C$22, $C$13, 100%, $E$13)</f>
        <v>4.6344000000000003</v>
      </c>
      <c r="D286" s="67">
        <f>4.6399 * CHOOSE(CONTROL!$C$22, $C$13, 100%, $E$13)</f>
        <v>4.6398999999999999</v>
      </c>
      <c r="E286" s="68">
        <f>5.7077 * CHOOSE(CONTROL!$C$22, $C$13, 100%, $E$13)</f>
        <v>5.7077</v>
      </c>
      <c r="F286" s="68">
        <f>5.7077 * CHOOSE(CONTROL!$C$22, $C$13, 100%, $E$13)</f>
        <v>5.7077</v>
      </c>
      <c r="G286" s="68">
        <f>5.7144 * CHOOSE(CONTROL!$C$22, $C$13, 100%, $E$13)</f>
        <v>5.7144000000000004</v>
      </c>
      <c r="H286" s="68">
        <f>8.6384* CHOOSE(CONTROL!$C$22, $C$13, 100%, $E$13)</f>
        <v>8.6384000000000007</v>
      </c>
      <c r="I286" s="68">
        <f>8.6451 * CHOOSE(CONTROL!$C$22, $C$13, 100%, $E$13)</f>
        <v>8.6450999999999993</v>
      </c>
      <c r="J286" s="68">
        <f>5.7077 * CHOOSE(CONTROL!$C$22, $C$13, 100%, $E$13)</f>
        <v>5.7077</v>
      </c>
      <c r="K286" s="68">
        <f>5.7144 * CHOOSE(CONTROL!$C$22, $C$13, 100%, $E$13)</f>
        <v>5.7144000000000004</v>
      </c>
    </row>
    <row r="287" spans="1:11" ht="15">
      <c r="A287" s="13">
        <v>49857</v>
      </c>
      <c r="B287" s="67">
        <f>4.7122 * CHOOSE(CONTROL!$C$22, $C$13, 100%, $E$13)</f>
        <v>4.7122000000000002</v>
      </c>
      <c r="C287" s="67">
        <f>4.7122 * CHOOSE(CONTROL!$C$22, $C$13, 100%, $E$13)</f>
        <v>4.7122000000000002</v>
      </c>
      <c r="D287" s="67">
        <f>4.7177 * CHOOSE(CONTROL!$C$22, $C$13, 100%, $E$13)</f>
        <v>4.7176999999999998</v>
      </c>
      <c r="E287" s="68">
        <f>5.8199 * CHOOSE(CONTROL!$C$22, $C$13, 100%, $E$13)</f>
        <v>5.8198999999999996</v>
      </c>
      <c r="F287" s="68">
        <f>5.8199 * CHOOSE(CONTROL!$C$22, $C$13, 100%, $E$13)</f>
        <v>5.8198999999999996</v>
      </c>
      <c r="G287" s="68">
        <f>5.8266 * CHOOSE(CONTROL!$C$22, $C$13, 100%, $E$13)</f>
        <v>5.8266</v>
      </c>
      <c r="H287" s="68">
        <f>8.6564* CHOOSE(CONTROL!$C$22, $C$13, 100%, $E$13)</f>
        <v>8.6563999999999997</v>
      </c>
      <c r="I287" s="68">
        <f>8.6631 * CHOOSE(CONTROL!$C$22, $C$13, 100%, $E$13)</f>
        <v>8.6631</v>
      </c>
      <c r="J287" s="68">
        <f>5.8199 * CHOOSE(CONTROL!$C$22, $C$13, 100%, $E$13)</f>
        <v>5.8198999999999996</v>
      </c>
      <c r="K287" s="68">
        <f>5.8266 * CHOOSE(CONTROL!$C$22, $C$13, 100%, $E$13)</f>
        <v>5.8266</v>
      </c>
    </row>
    <row r="288" spans="1:11" ht="15">
      <c r="A288" s="13">
        <v>49888</v>
      </c>
      <c r="B288" s="67">
        <f>4.7188 * CHOOSE(CONTROL!$C$22, $C$13, 100%, $E$13)</f>
        <v>4.7187999999999999</v>
      </c>
      <c r="C288" s="67">
        <f>4.7188 * CHOOSE(CONTROL!$C$22, $C$13, 100%, $E$13)</f>
        <v>4.7187999999999999</v>
      </c>
      <c r="D288" s="67">
        <f>4.7243 * CHOOSE(CONTROL!$C$22, $C$13, 100%, $E$13)</f>
        <v>4.7243000000000004</v>
      </c>
      <c r="E288" s="68">
        <f>5.7404 * CHOOSE(CONTROL!$C$22, $C$13, 100%, $E$13)</f>
        <v>5.7404000000000002</v>
      </c>
      <c r="F288" s="68">
        <f>5.7404 * CHOOSE(CONTROL!$C$22, $C$13, 100%, $E$13)</f>
        <v>5.7404000000000002</v>
      </c>
      <c r="G288" s="68">
        <f>5.7471 * CHOOSE(CONTROL!$C$22, $C$13, 100%, $E$13)</f>
        <v>5.7470999999999997</v>
      </c>
      <c r="H288" s="68">
        <f>8.6744* CHOOSE(CONTROL!$C$22, $C$13, 100%, $E$13)</f>
        <v>8.6744000000000003</v>
      </c>
      <c r="I288" s="68">
        <f>8.6812 * CHOOSE(CONTROL!$C$22, $C$13, 100%, $E$13)</f>
        <v>8.6812000000000005</v>
      </c>
      <c r="J288" s="68">
        <f>5.7404 * CHOOSE(CONTROL!$C$22, $C$13, 100%, $E$13)</f>
        <v>5.7404000000000002</v>
      </c>
      <c r="K288" s="68">
        <f>5.7471 * CHOOSE(CONTROL!$C$22, $C$13, 100%, $E$13)</f>
        <v>5.7470999999999997</v>
      </c>
    </row>
    <row r="289" spans="1:11" ht="15">
      <c r="A289" s="13">
        <v>49919</v>
      </c>
      <c r="B289" s="67">
        <f>4.7158 * CHOOSE(CONTROL!$C$22, $C$13, 100%, $E$13)</f>
        <v>4.7157999999999998</v>
      </c>
      <c r="C289" s="67">
        <f>4.7158 * CHOOSE(CONTROL!$C$22, $C$13, 100%, $E$13)</f>
        <v>4.7157999999999998</v>
      </c>
      <c r="D289" s="67">
        <f>4.7213 * CHOOSE(CONTROL!$C$22, $C$13, 100%, $E$13)</f>
        <v>4.7213000000000003</v>
      </c>
      <c r="E289" s="68">
        <f>5.7289 * CHOOSE(CONTROL!$C$22, $C$13, 100%, $E$13)</f>
        <v>5.7289000000000003</v>
      </c>
      <c r="F289" s="68">
        <f>5.7289 * CHOOSE(CONTROL!$C$22, $C$13, 100%, $E$13)</f>
        <v>5.7289000000000003</v>
      </c>
      <c r="G289" s="68">
        <f>5.7356 * CHOOSE(CONTROL!$C$22, $C$13, 100%, $E$13)</f>
        <v>5.7355999999999998</v>
      </c>
      <c r="H289" s="68">
        <f>8.6925* CHOOSE(CONTROL!$C$22, $C$13, 100%, $E$13)</f>
        <v>8.6925000000000008</v>
      </c>
      <c r="I289" s="68">
        <f>8.6992 * CHOOSE(CONTROL!$C$22, $C$13, 100%, $E$13)</f>
        <v>8.6991999999999994</v>
      </c>
      <c r="J289" s="68">
        <f>5.7289 * CHOOSE(CONTROL!$C$22, $C$13, 100%, $E$13)</f>
        <v>5.7289000000000003</v>
      </c>
      <c r="K289" s="68">
        <f>5.7356 * CHOOSE(CONTROL!$C$22, $C$13, 100%, $E$13)</f>
        <v>5.7355999999999998</v>
      </c>
    </row>
    <row r="290" spans="1:11" ht="15">
      <c r="A290" s="13">
        <v>49949</v>
      </c>
      <c r="B290" s="67">
        <f>4.7132 * CHOOSE(CONTROL!$C$22, $C$13, 100%, $E$13)</f>
        <v>4.7131999999999996</v>
      </c>
      <c r="C290" s="67">
        <f>4.7132 * CHOOSE(CONTROL!$C$22, $C$13, 100%, $E$13)</f>
        <v>4.7131999999999996</v>
      </c>
      <c r="D290" s="67">
        <f>4.7171 * CHOOSE(CONTROL!$C$22, $C$13, 100%, $E$13)</f>
        <v>4.7171000000000003</v>
      </c>
      <c r="E290" s="68">
        <f>5.7529 * CHOOSE(CONTROL!$C$22, $C$13, 100%, $E$13)</f>
        <v>5.7529000000000003</v>
      </c>
      <c r="F290" s="68">
        <f>5.7529 * CHOOSE(CONTROL!$C$22, $C$13, 100%, $E$13)</f>
        <v>5.7529000000000003</v>
      </c>
      <c r="G290" s="68">
        <f>5.7576 * CHOOSE(CONTROL!$C$22, $C$13, 100%, $E$13)</f>
        <v>5.7576000000000001</v>
      </c>
      <c r="H290" s="68">
        <f>8.7106* CHOOSE(CONTROL!$C$22, $C$13, 100%, $E$13)</f>
        <v>8.7105999999999995</v>
      </c>
      <c r="I290" s="68">
        <f>8.7154 * CHOOSE(CONTROL!$C$22, $C$13, 100%, $E$13)</f>
        <v>8.7154000000000007</v>
      </c>
      <c r="J290" s="68">
        <f>5.7529 * CHOOSE(CONTROL!$C$22, $C$13, 100%, $E$13)</f>
        <v>5.7529000000000003</v>
      </c>
      <c r="K290" s="68">
        <f>5.7576 * CHOOSE(CONTROL!$C$22, $C$13, 100%, $E$13)</f>
        <v>5.7576000000000001</v>
      </c>
    </row>
    <row r="291" spans="1:11" ht="15">
      <c r="A291" s="13">
        <v>49980</v>
      </c>
      <c r="B291" s="67">
        <f>4.7163 * CHOOSE(CONTROL!$C$22, $C$13, 100%, $E$13)</f>
        <v>4.7163000000000004</v>
      </c>
      <c r="C291" s="67">
        <f>4.7163 * CHOOSE(CONTROL!$C$22, $C$13, 100%, $E$13)</f>
        <v>4.7163000000000004</v>
      </c>
      <c r="D291" s="67">
        <f>4.7201 * CHOOSE(CONTROL!$C$22, $C$13, 100%, $E$13)</f>
        <v>4.7201000000000004</v>
      </c>
      <c r="E291" s="68">
        <f>5.7737 * CHOOSE(CONTROL!$C$22, $C$13, 100%, $E$13)</f>
        <v>5.7736999999999998</v>
      </c>
      <c r="F291" s="68">
        <f>5.7737 * CHOOSE(CONTROL!$C$22, $C$13, 100%, $E$13)</f>
        <v>5.7736999999999998</v>
      </c>
      <c r="G291" s="68">
        <f>5.7785 * CHOOSE(CONTROL!$C$22, $C$13, 100%, $E$13)</f>
        <v>5.7785000000000002</v>
      </c>
      <c r="H291" s="68">
        <f>8.7287* CHOOSE(CONTROL!$C$22, $C$13, 100%, $E$13)</f>
        <v>8.7286999999999999</v>
      </c>
      <c r="I291" s="68">
        <f>8.7335 * CHOOSE(CONTROL!$C$22, $C$13, 100%, $E$13)</f>
        <v>8.7334999999999994</v>
      </c>
      <c r="J291" s="68">
        <f>5.7737 * CHOOSE(CONTROL!$C$22, $C$13, 100%, $E$13)</f>
        <v>5.7736999999999998</v>
      </c>
      <c r="K291" s="68">
        <f>5.7785 * CHOOSE(CONTROL!$C$22, $C$13, 100%, $E$13)</f>
        <v>5.7785000000000002</v>
      </c>
    </row>
    <row r="292" spans="1:11" ht="15">
      <c r="A292" s="13">
        <v>50010</v>
      </c>
      <c r="B292" s="67">
        <f>4.7163 * CHOOSE(CONTROL!$C$22, $C$13, 100%, $E$13)</f>
        <v>4.7163000000000004</v>
      </c>
      <c r="C292" s="67">
        <f>4.7163 * CHOOSE(CONTROL!$C$22, $C$13, 100%, $E$13)</f>
        <v>4.7163000000000004</v>
      </c>
      <c r="D292" s="67">
        <f>4.7201 * CHOOSE(CONTROL!$C$22, $C$13, 100%, $E$13)</f>
        <v>4.7201000000000004</v>
      </c>
      <c r="E292" s="68">
        <f>5.7269 * CHOOSE(CONTROL!$C$22, $C$13, 100%, $E$13)</f>
        <v>5.7268999999999997</v>
      </c>
      <c r="F292" s="68">
        <f>5.7269 * CHOOSE(CONTROL!$C$22, $C$13, 100%, $E$13)</f>
        <v>5.7268999999999997</v>
      </c>
      <c r="G292" s="68">
        <f>5.7317 * CHOOSE(CONTROL!$C$22, $C$13, 100%, $E$13)</f>
        <v>5.7317</v>
      </c>
      <c r="H292" s="68">
        <f>8.7469* CHOOSE(CONTROL!$C$22, $C$13, 100%, $E$13)</f>
        <v>8.7469000000000001</v>
      </c>
      <c r="I292" s="68">
        <f>8.7517 * CHOOSE(CONTROL!$C$22, $C$13, 100%, $E$13)</f>
        <v>8.7516999999999996</v>
      </c>
      <c r="J292" s="68">
        <f>5.7269 * CHOOSE(CONTROL!$C$22, $C$13, 100%, $E$13)</f>
        <v>5.7268999999999997</v>
      </c>
      <c r="K292" s="68">
        <f>5.7317 * CHOOSE(CONTROL!$C$22, $C$13, 100%, $E$13)</f>
        <v>5.7317</v>
      </c>
    </row>
    <row r="293" spans="1:11" ht="15">
      <c r="A293" s="13">
        <v>50041</v>
      </c>
      <c r="B293" s="67">
        <f>4.7586 * CHOOSE(CONTROL!$C$22, $C$13, 100%, $E$13)</f>
        <v>4.7586000000000004</v>
      </c>
      <c r="C293" s="67">
        <f>4.7586 * CHOOSE(CONTROL!$C$22, $C$13, 100%, $E$13)</f>
        <v>4.7586000000000004</v>
      </c>
      <c r="D293" s="67">
        <f>4.7624 * CHOOSE(CONTROL!$C$22, $C$13, 100%, $E$13)</f>
        <v>4.7624000000000004</v>
      </c>
      <c r="E293" s="68">
        <f>5.8119 * CHOOSE(CONTROL!$C$22, $C$13, 100%, $E$13)</f>
        <v>5.8118999999999996</v>
      </c>
      <c r="F293" s="68">
        <f>5.8119 * CHOOSE(CONTROL!$C$22, $C$13, 100%, $E$13)</f>
        <v>5.8118999999999996</v>
      </c>
      <c r="G293" s="68">
        <f>5.8166 * CHOOSE(CONTROL!$C$22, $C$13, 100%, $E$13)</f>
        <v>5.8166000000000002</v>
      </c>
      <c r="H293" s="68">
        <f>8.7652* CHOOSE(CONTROL!$C$22, $C$13, 100%, $E$13)</f>
        <v>8.7652000000000001</v>
      </c>
      <c r="I293" s="68">
        <f>8.7699 * CHOOSE(CONTROL!$C$22, $C$13, 100%, $E$13)</f>
        <v>8.7698999999999998</v>
      </c>
      <c r="J293" s="68">
        <f>5.8119 * CHOOSE(CONTROL!$C$22, $C$13, 100%, $E$13)</f>
        <v>5.8118999999999996</v>
      </c>
      <c r="K293" s="68">
        <f>5.8166 * CHOOSE(CONTROL!$C$22, $C$13, 100%, $E$13)</f>
        <v>5.8166000000000002</v>
      </c>
    </row>
    <row r="294" spans="1:11" ht="15">
      <c r="A294" s="13">
        <v>50072</v>
      </c>
      <c r="B294" s="67">
        <f>4.7555 * CHOOSE(CONTROL!$C$22, $C$13, 100%, $E$13)</f>
        <v>4.7554999999999996</v>
      </c>
      <c r="C294" s="67">
        <f>4.7555 * CHOOSE(CONTROL!$C$22, $C$13, 100%, $E$13)</f>
        <v>4.7554999999999996</v>
      </c>
      <c r="D294" s="67">
        <f>4.7594 * CHOOSE(CONTROL!$C$22, $C$13, 100%, $E$13)</f>
        <v>4.7594000000000003</v>
      </c>
      <c r="E294" s="68">
        <f>5.719 * CHOOSE(CONTROL!$C$22, $C$13, 100%, $E$13)</f>
        <v>5.7190000000000003</v>
      </c>
      <c r="F294" s="68">
        <f>5.719 * CHOOSE(CONTROL!$C$22, $C$13, 100%, $E$13)</f>
        <v>5.7190000000000003</v>
      </c>
      <c r="G294" s="68">
        <f>5.7238 * CHOOSE(CONTROL!$C$22, $C$13, 100%, $E$13)</f>
        <v>5.7237999999999998</v>
      </c>
      <c r="H294" s="68">
        <f>8.7834* CHOOSE(CONTROL!$C$22, $C$13, 100%, $E$13)</f>
        <v>8.7834000000000003</v>
      </c>
      <c r="I294" s="68">
        <f>8.7882 * CHOOSE(CONTROL!$C$22, $C$13, 100%, $E$13)</f>
        <v>8.7881999999999998</v>
      </c>
      <c r="J294" s="68">
        <f>5.719 * CHOOSE(CONTROL!$C$22, $C$13, 100%, $E$13)</f>
        <v>5.7190000000000003</v>
      </c>
      <c r="K294" s="68">
        <f>5.7238 * CHOOSE(CONTROL!$C$22, $C$13, 100%, $E$13)</f>
        <v>5.7237999999999998</v>
      </c>
    </row>
    <row r="295" spans="1:11" ht="15">
      <c r="A295" s="13">
        <v>50100</v>
      </c>
      <c r="B295" s="67">
        <f>4.7525 * CHOOSE(CONTROL!$C$22, $C$13, 100%, $E$13)</f>
        <v>4.7525000000000004</v>
      </c>
      <c r="C295" s="67">
        <f>4.7525 * CHOOSE(CONTROL!$C$22, $C$13, 100%, $E$13)</f>
        <v>4.7525000000000004</v>
      </c>
      <c r="D295" s="67">
        <f>4.7563 * CHOOSE(CONTROL!$C$22, $C$13, 100%, $E$13)</f>
        <v>4.7563000000000004</v>
      </c>
      <c r="E295" s="68">
        <f>5.7884 * CHOOSE(CONTROL!$C$22, $C$13, 100%, $E$13)</f>
        <v>5.7884000000000002</v>
      </c>
      <c r="F295" s="68">
        <f>5.7884 * CHOOSE(CONTROL!$C$22, $C$13, 100%, $E$13)</f>
        <v>5.7884000000000002</v>
      </c>
      <c r="G295" s="68">
        <f>5.7932 * CHOOSE(CONTROL!$C$22, $C$13, 100%, $E$13)</f>
        <v>5.7931999999999997</v>
      </c>
      <c r="H295" s="68">
        <f>8.8017* CHOOSE(CONTROL!$C$22, $C$13, 100%, $E$13)</f>
        <v>8.8017000000000003</v>
      </c>
      <c r="I295" s="68">
        <f>8.8065 * CHOOSE(CONTROL!$C$22, $C$13, 100%, $E$13)</f>
        <v>8.8064999999999998</v>
      </c>
      <c r="J295" s="68">
        <f>5.7884 * CHOOSE(CONTROL!$C$22, $C$13, 100%, $E$13)</f>
        <v>5.7884000000000002</v>
      </c>
      <c r="K295" s="68">
        <f>5.7932 * CHOOSE(CONTROL!$C$22, $C$13, 100%, $E$13)</f>
        <v>5.7931999999999997</v>
      </c>
    </row>
    <row r="296" spans="1:11" ht="15">
      <c r="A296" s="13">
        <v>50131</v>
      </c>
      <c r="B296" s="67">
        <f>4.7508 * CHOOSE(CONTROL!$C$22, $C$13, 100%, $E$13)</f>
        <v>4.7507999999999999</v>
      </c>
      <c r="C296" s="67">
        <f>4.7508 * CHOOSE(CONTROL!$C$22, $C$13, 100%, $E$13)</f>
        <v>4.7507999999999999</v>
      </c>
      <c r="D296" s="67">
        <f>4.7546 * CHOOSE(CONTROL!$C$22, $C$13, 100%, $E$13)</f>
        <v>4.7545999999999999</v>
      </c>
      <c r="E296" s="68">
        <f>5.861 * CHOOSE(CONTROL!$C$22, $C$13, 100%, $E$13)</f>
        <v>5.8609999999999998</v>
      </c>
      <c r="F296" s="68">
        <f>5.861 * CHOOSE(CONTROL!$C$22, $C$13, 100%, $E$13)</f>
        <v>5.8609999999999998</v>
      </c>
      <c r="G296" s="68">
        <f>5.8658 * CHOOSE(CONTROL!$C$22, $C$13, 100%, $E$13)</f>
        <v>5.8658000000000001</v>
      </c>
      <c r="H296" s="68">
        <f>8.82* CHOOSE(CONTROL!$C$22, $C$13, 100%, $E$13)</f>
        <v>8.82</v>
      </c>
      <c r="I296" s="68">
        <f>8.8248 * CHOOSE(CONTROL!$C$22, $C$13, 100%, $E$13)</f>
        <v>8.8247999999999998</v>
      </c>
      <c r="J296" s="68">
        <f>5.861 * CHOOSE(CONTROL!$C$22, $C$13, 100%, $E$13)</f>
        <v>5.8609999999999998</v>
      </c>
      <c r="K296" s="68">
        <f>5.8658 * CHOOSE(CONTROL!$C$22, $C$13, 100%, $E$13)</f>
        <v>5.8658000000000001</v>
      </c>
    </row>
    <row r="297" spans="1:11" ht="15">
      <c r="A297" s="13">
        <v>50161</v>
      </c>
      <c r="B297" s="67">
        <f>4.7508 * CHOOSE(CONTROL!$C$22, $C$13, 100%, $E$13)</f>
        <v>4.7507999999999999</v>
      </c>
      <c r="C297" s="67">
        <f>4.7508 * CHOOSE(CONTROL!$C$22, $C$13, 100%, $E$13)</f>
        <v>4.7507999999999999</v>
      </c>
      <c r="D297" s="67">
        <f>4.7563 * CHOOSE(CONTROL!$C$22, $C$13, 100%, $E$13)</f>
        <v>4.7563000000000004</v>
      </c>
      <c r="E297" s="68">
        <f>5.8898 * CHOOSE(CONTROL!$C$22, $C$13, 100%, $E$13)</f>
        <v>5.8898000000000001</v>
      </c>
      <c r="F297" s="68">
        <f>5.8898 * CHOOSE(CONTROL!$C$22, $C$13, 100%, $E$13)</f>
        <v>5.8898000000000001</v>
      </c>
      <c r="G297" s="68">
        <f>5.8966 * CHOOSE(CONTROL!$C$22, $C$13, 100%, $E$13)</f>
        <v>5.8966000000000003</v>
      </c>
      <c r="H297" s="68">
        <f>8.8384* CHOOSE(CONTROL!$C$22, $C$13, 100%, $E$13)</f>
        <v>8.8384</v>
      </c>
      <c r="I297" s="68">
        <f>8.8452 * CHOOSE(CONTROL!$C$22, $C$13, 100%, $E$13)</f>
        <v>8.8452000000000002</v>
      </c>
      <c r="J297" s="68">
        <f>5.8898 * CHOOSE(CONTROL!$C$22, $C$13, 100%, $E$13)</f>
        <v>5.8898000000000001</v>
      </c>
      <c r="K297" s="68">
        <f>5.8966 * CHOOSE(CONTROL!$C$22, $C$13, 100%, $E$13)</f>
        <v>5.8966000000000003</v>
      </c>
    </row>
    <row r="298" spans="1:11" ht="15">
      <c r="A298" s="13">
        <v>50192</v>
      </c>
      <c r="B298" s="67">
        <f>4.7569 * CHOOSE(CONTROL!$C$22, $C$13, 100%, $E$13)</f>
        <v>4.7568999999999999</v>
      </c>
      <c r="C298" s="67">
        <f>4.7569 * CHOOSE(CONTROL!$C$22, $C$13, 100%, $E$13)</f>
        <v>4.7568999999999999</v>
      </c>
      <c r="D298" s="67">
        <f>4.7624 * CHOOSE(CONTROL!$C$22, $C$13, 100%, $E$13)</f>
        <v>4.7624000000000004</v>
      </c>
      <c r="E298" s="68">
        <f>5.8653 * CHOOSE(CONTROL!$C$22, $C$13, 100%, $E$13)</f>
        <v>5.8653000000000004</v>
      </c>
      <c r="F298" s="68">
        <f>5.8653 * CHOOSE(CONTROL!$C$22, $C$13, 100%, $E$13)</f>
        <v>5.8653000000000004</v>
      </c>
      <c r="G298" s="68">
        <f>5.872 * CHOOSE(CONTROL!$C$22, $C$13, 100%, $E$13)</f>
        <v>5.8719999999999999</v>
      </c>
      <c r="H298" s="68">
        <f>8.8568* CHOOSE(CONTROL!$C$22, $C$13, 100%, $E$13)</f>
        <v>8.8567999999999998</v>
      </c>
      <c r="I298" s="68">
        <f>8.8636 * CHOOSE(CONTROL!$C$22, $C$13, 100%, $E$13)</f>
        <v>8.8635999999999999</v>
      </c>
      <c r="J298" s="68">
        <f>5.8653 * CHOOSE(CONTROL!$C$22, $C$13, 100%, $E$13)</f>
        <v>5.8653000000000004</v>
      </c>
      <c r="K298" s="68">
        <f>5.872 * CHOOSE(CONTROL!$C$22, $C$13, 100%, $E$13)</f>
        <v>5.8719999999999999</v>
      </c>
    </row>
    <row r="299" spans="1:11" ht="15">
      <c r="A299" s="13">
        <v>50222</v>
      </c>
      <c r="B299" s="67">
        <f>4.836 * CHOOSE(CONTROL!$C$22, $C$13, 100%, $E$13)</f>
        <v>4.8360000000000003</v>
      </c>
      <c r="C299" s="67">
        <f>4.836 * CHOOSE(CONTROL!$C$22, $C$13, 100%, $E$13)</f>
        <v>4.8360000000000003</v>
      </c>
      <c r="D299" s="67">
        <f>4.8415 * CHOOSE(CONTROL!$C$22, $C$13, 100%, $E$13)</f>
        <v>4.8414999999999999</v>
      </c>
      <c r="E299" s="68">
        <f>5.9773 * CHOOSE(CONTROL!$C$22, $C$13, 100%, $E$13)</f>
        <v>5.9772999999999996</v>
      </c>
      <c r="F299" s="68">
        <f>5.9773 * CHOOSE(CONTROL!$C$22, $C$13, 100%, $E$13)</f>
        <v>5.9772999999999996</v>
      </c>
      <c r="G299" s="68">
        <f>5.984 * CHOOSE(CONTROL!$C$22, $C$13, 100%, $E$13)</f>
        <v>5.984</v>
      </c>
      <c r="H299" s="68">
        <f>8.8753* CHOOSE(CONTROL!$C$22, $C$13, 100%, $E$13)</f>
        <v>8.8752999999999993</v>
      </c>
      <c r="I299" s="68">
        <f>8.882 * CHOOSE(CONTROL!$C$22, $C$13, 100%, $E$13)</f>
        <v>8.8819999999999997</v>
      </c>
      <c r="J299" s="68">
        <f>5.9773 * CHOOSE(CONTROL!$C$22, $C$13, 100%, $E$13)</f>
        <v>5.9772999999999996</v>
      </c>
      <c r="K299" s="68">
        <f>5.984 * CHOOSE(CONTROL!$C$22, $C$13, 100%, $E$13)</f>
        <v>5.984</v>
      </c>
    </row>
    <row r="300" spans="1:11" ht="15">
      <c r="A300" s="13">
        <v>50253</v>
      </c>
      <c r="B300" s="67">
        <f>4.8427 * CHOOSE(CONTROL!$C$22, $C$13, 100%, $E$13)</f>
        <v>4.8426999999999998</v>
      </c>
      <c r="C300" s="67">
        <f>4.8427 * CHOOSE(CONTROL!$C$22, $C$13, 100%, $E$13)</f>
        <v>4.8426999999999998</v>
      </c>
      <c r="D300" s="67">
        <f>4.8482 * CHOOSE(CONTROL!$C$22, $C$13, 100%, $E$13)</f>
        <v>4.8482000000000003</v>
      </c>
      <c r="E300" s="68">
        <f>5.8955 * CHOOSE(CONTROL!$C$22, $C$13, 100%, $E$13)</f>
        <v>5.8955000000000002</v>
      </c>
      <c r="F300" s="68">
        <f>5.8955 * CHOOSE(CONTROL!$C$22, $C$13, 100%, $E$13)</f>
        <v>5.8955000000000002</v>
      </c>
      <c r="G300" s="68">
        <f>5.9022 * CHOOSE(CONTROL!$C$22, $C$13, 100%, $E$13)</f>
        <v>5.9021999999999997</v>
      </c>
      <c r="H300" s="68">
        <f>8.8938* CHOOSE(CONTROL!$C$22, $C$13, 100%, $E$13)</f>
        <v>8.8938000000000006</v>
      </c>
      <c r="I300" s="68">
        <f>8.9005 * CHOOSE(CONTROL!$C$22, $C$13, 100%, $E$13)</f>
        <v>8.9004999999999992</v>
      </c>
      <c r="J300" s="68">
        <f>5.8955 * CHOOSE(CONTROL!$C$22, $C$13, 100%, $E$13)</f>
        <v>5.8955000000000002</v>
      </c>
      <c r="K300" s="68">
        <f>5.9022 * CHOOSE(CONTROL!$C$22, $C$13, 100%, $E$13)</f>
        <v>5.9021999999999997</v>
      </c>
    </row>
    <row r="301" spans="1:11" ht="15">
      <c r="A301" s="13">
        <v>50284</v>
      </c>
      <c r="B301" s="67">
        <f>4.8396 * CHOOSE(CONTROL!$C$22, $C$13, 100%, $E$13)</f>
        <v>4.8395999999999999</v>
      </c>
      <c r="C301" s="67">
        <f>4.8396 * CHOOSE(CONTROL!$C$22, $C$13, 100%, $E$13)</f>
        <v>4.8395999999999999</v>
      </c>
      <c r="D301" s="67">
        <f>4.8451 * CHOOSE(CONTROL!$C$22, $C$13, 100%, $E$13)</f>
        <v>4.8451000000000004</v>
      </c>
      <c r="E301" s="68">
        <f>5.8837 * CHOOSE(CONTROL!$C$22, $C$13, 100%, $E$13)</f>
        <v>5.8837000000000002</v>
      </c>
      <c r="F301" s="68">
        <f>5.8837 * CHOOSE(CONTROL!$C$22, $C$13, 100%, $E$13)</f>
        <v>5.8837000000000002</v>
      </c>
      <c r="G301" s="68">
        <f>5.8905 * CHOOSE(CONTROL!$C$22, $C$13, 100%, $E$13)</f>
        <v>5.8905000000000003</v>
      </c>
      <c r="H301" s="68">
        <f>8.9123* CHOOSE(CONTROL!$C$22, $C$13, 100%, $E$13)</f>
        <v>8.9123000000000001</v>
      </c>
      <c r="I301" s="68">
        <f>8.919 * CHOOSE(CONTROL!$C$22, $C$13, 100%, $E$13)</f>
        <v>8.9190000000000005</v>
      </c>
      <c r="J301" s="68">
        <f>5.8837 * CHOOSE(CONTROL!$C$22, $C$13, 100%, $E$13)</f>
        <v>5.8837000000000002</v>
      </c>
      <c r="K301" s="68">
        <f>5.8905 * CHOOSE(CONTROL!$C$22, $C$13, 100%, $E$13)</f>
        <v>5.8905000000000003</v>
      </c>
    </row>
    <row r="302" spans="1:11" ht="15">
      <c r="A302" s="13">
        <v>50314</v>
      </c>
      <c r="B302" s="67">
        <f>4.8375 * CHOOSE(CONTROL!$C$22, $C$13, 100%, $E$13)</f>
        <v>4.8375000000000004</v>
      </c>
      <c r="C302" s="67">
        <f>4.8375 * CHOOSE(CONTROL!$C$22, $C$13, 100%, $E$13)</f>
        <v>4.8375000000000004</v>
      </c>
      <c r="D302" s="67">
        <f>4.8413 * CHOOSE(CONTROL!$C$22, $C$13, 100%, $E$13)</f>
        <v>4.8413000000000004</v>
      </c>
      <c r="E302" s="68">
        <f>5.9087 * CHOOSE(CONTROL!$C$22, $C$13, 100%, $E$13)</f>
        <v>5.9086999999999996</v>
      </c>
      <c r="F302" s="68">
        <f>5.9087 * CHOOSE(CONTROL!$C$22, $C$13, 100%, $E$13)</f>
        <v>5.9086999999999996</v>
      </c>
      <c r="G302" s="68">
        <f>5.9135 * CHOOSE(CONTROL!$C$22, $C$13, 100%, $E$13)</f>
        <v>5.9135</v>
      </c>
      <c r="H302" s="68">
        <f>8.9309* CHOOSE(CONTROL!$C$22, $C$13, 100%, $E$13)</f>
        <v>8.9308999999999994</v>
      </c>
      <c r="I302" s="68">
        <f>8.9356 * CHOOSE(CONTROL!$C$22, $C$13, 100%, $E$13)</f>
        <v>8.9356000000000009</v>
      </c>
      <c r="J302" s="68">
        <f>5.9087 * CHOOSE(CONTROL!$C$22, $C$13, 100%, $E$13)</f>
        <v>5.9086999999999996</v>
      </c>
      <c r="K302" s="68">
        <f>5.9135 * CHOOSE(CONTROL!$C$22, $C$13, 100%, $E$13)</f>
        <v>5.9135</v>
      </c>
    </row>
    <row r="303" spans="1:11" ht="15">
      <c r="A303" s="13">
        <v>50345</v>
      </c>
      <c r="B303" s="67">
        <f>4.8405 * CHOOSE(CONTROL!$C$22, $C$13, 100%, $E$13)</f>
        <v>4.8404999999999996</v>
      </c>
      <c r="C303" s="67">
        <f>4.8405 * CHOOSE(CONTROL!$C$22, $C$13, 100%, $E$13)</f>
        <v>4.8404999999999996</v>
      </c>
      <c r="D303" s="67">
        <f>4.8444 * CHOOSE(CONTROL!$C$22, $C$13, 100%, $E$13)</f>
        <v>4.8444000000000003</v>
      </c>
      <c r="E303" s="68">
        <f>5.9301 * CHOOSE(CONTROL!$C$22, $C$13, 100%, $E$13)</f>
        <v>5.9301000000000004</v>
      </c>
      <c r="F303" s="68">
        <f>5.9301 * CHOOSE(CONTROL!$C$22, $C$13, 100%, $E$13)</f>
        <v>5.9301000000000004</v>
      </c>
      <c r="G303" s="68">
        <f>5.9348 * CHOOSE(CONTROL!$C$22, $C$13, 100%, $E$13)</f>
        <v>5.9348000000000001</v>
      </c>
      <c r="H303" s="68">
        <f>8.9495* CHOOSE(CONTROL!$C$22, $C$13, 100%, $E$13)</f>
        <v>8.9495000000000005</v>
      </c>
      <c r="I303" s="68">
        <f>8.9543 * CHOOSE(CONTROL!$C$22, $C$13, 100%, $E$13)</f>
        <v>8.9542999999999999</v>
      </c>
      <c r="J303" s="68">
        <f>5.9301 * CHOOSE(CONTROL!$C$22, $C$13, 100%, $E$13)</f>
        <v>5.9301000000000004</v>
      </c>
      <c r="K303" s="68">
        <f>5.9348 * CHOOSE(CONTROL!$C$22, $C$13, 100%, $E$13)</f>
        <v>5.9348000000000001</v>
      </c>
    </row>
    <row r="304" spans="1:11" ht="15">
      <c r="A304" s="13">
        <v>50375</v>
      </c>
      <c r="B304" s="67">
        <f>4.8405 * CHOOSE(CONTROL!$C$22, $C$13, 100%, $E$13)</f>
        <v>4.8404999999999996</v>
      </c>
      <c r="C304" s="67">
        <f>4.8405 * CHOOSE(CONTROL!$C$22, $C$13, 100%, $E$13)</f>
        <v>4.8404999999999996</v>
      </c>
      <c r="D304" s="67">
        <f>4.8444 * CHOOSE(CONTROL!$C$22, $C$13, 100%, $E$13)</f>
        <v>4.8444000000000003</v>
      </c>
      <c r="E304" s="68">
        <f>5.8821 * CHOOSE(CONTROL!$C$22, $C$13, 100%, $E$13)</f>
        <v>5.8821000000000003</v>
      </c>
      <c r="F304" s="68">
        <f>5.8821 * CHOOSE(CONTROL!$C$22, $C$13, 100%, $E$13)</f>
        <v>5.8821000000000003</v>
      </c>
      <c r="G304" s="68">
        <f>5.8868 * CHOOSE(CONTROL!$C$22, $C$13, 100%, $E$13)</f>
        <v>5.8868</v>
      </c>
      <c r="H304" s="68">
        <f>8.9681* CHOOSE(CONTROL!$C$22, $C$13, 100%, $E$13)</f>
        <v>8.9680999999999997</v>
      </c>
      <c r="I304" s="68">
        <f>8.9729 * CHOOSE(CONTROL!$C$22, $C$13, 100%, $E$13)</f>
        <v>8.9728999999999992</v>
      </c>
      <c r="J304" s="68">
        <f>5.8821 * CHOOSE(CONTROL!$C$22, $C$13, 100%, $E$13)</f>
        <v>5.8821000000000003</v>
      </c>
      <c r="K304" s="68">
        <f>5.8868 * CHOOSE(CONTROL!$C$22, $C$13, 100%, $E$13)</f>
        <v>5.8868</v>
      </c>
    </row>
    <row r="305" spans="1:11" ht="15">
      <c r="A305" s="13">
        <v>50406</v>
      </c>
      <c r="B305" s="67">
        <f>4.8843 * CHOOSE(CONTROL!$C$22, $C$13, 100%, $E$13)</f>
        <v>4.8842999999999996</v>
      </c>
      <c r="C305" s="67">
        <f>4.8843 * CHOOSE(CONTROL!$C$22, $C$13, 100%, $E$13)</f>
        <v>4.8842999999999996</v>
      </c>
      <c r="D305" s="67">
        <f>4.8882 * CHOOSE(CONTROL!$C$22, $C$13, 100%, $E$13)</f>
        <v>4.8882000000000003</v>
      </c>
      <c r="E305" s="68">
        <f>5.9668 * CHOOSE(CONTROL!$C$22, $C$13, 100%, $E$13)</f>
        <v>5.9668000000000001</v>
      </c>
      <c r="F305" s="68">
        <f>5.9668 * CHOOSE(CONTROL!$C$22, $C$13, 100%, $E$13)</f>
        <v>5.9668000000000001</v>
      </c>
      <c r="G305" s="68">
        <f>5.9716 * CHOOSE(CONTROL!$C$22, $C$13, 100%, $E$13)</f>
        <v>5.9715999999999996</v>
      </c>
      <c r="H305" s="68">
        <f>8.9868* CHOOSE(CONTROL!$C$22, $C$13, 100%, $E$13)</f>
        <v>8.9868000000000006</v>
      </c>
      <c r="I305" s="68">
        <f>8.9916 * CHOOSE(CONTROL!$C$22, $C$13, 100%, $E$13)</f>
        <v>8.9916</v>
      </c>
      <c r="J305" s="68">
        <f>5.9668 * CHOOSE(CONTROL!$C$22, $C$13, 100%, $E$13)</f>
        <v>5.9668000000000001</v>
      </c>
      <c r="K305" s="68">
        <f>5.9716 * CHOOSE(CONTROL!$C$22, $C$13, 100%, $E$13)</f>
        <v>5.9715999999999996</v>
      </c>
    </row>
    <row r="306" spans="1:11" ht="15">
      <c r="A306" s="13">
        <v>50437</v>
      </c>
      <c r="B306" s="67">
        <f>4.8813 * CHOOSE(CONTROL!$C$22, $C$13, 100%, $E$13)</f>
        <v>4.8813000000000004</v>
      </c>
      <c r="C306" s="67">
        <f>4.8813 * CHOOSE(CONTROL!$C$22, $C$13, 100%, $E$13)</f>
        <v>4.8813000000000004</v>
      </c>
      <c r="D306" s="67">
        <f>4.8852 * CHOOSE(CONTROL!$C$22, $C$13, 100%, $E$13)</f>
        <v>4.8852000000000002</v>
      </c>
      <c r="E306" s="68">
        <f>5.8715 * CHOOSE(CONTROL!$C$22, $C$13, 100%, $E$13)</f>
        <v>5.8715000000000002</v>
      </c>
      <c r="F306" s="68">
        <f>5.8715 * CHOOSE(CONTROL!$C$22, $C$13, 100%, $E$13)</f>
        <v>5.8715000000000002</v>
      </c>
      <c r="G306" s="68">
        <f>5.8763 * CHOOSE(CONTROL!$C$22, $C$13, 100%, $E$13)</f>
        <v>5.8762999999999996</v>
      </c>
      <c r="H306" s="68">
        <f>9.0055* CHOOSE(CONTROL!$C$22, $C$13, 100%, $E$13)</f>
        <v>9.0054999999999996</v>
      </c>
      <c r="I306" s="68">
        <f>9.0103 * CHOOSE(CONTROL!$C$22, $C$13, 100%, $E$13)</f>
        <v>9.0103000000000009</v>
      </c>
      <c r="J306" s="68">
        <f>5.8715 * CHOOSE(CONTROL!$C$22, $C$13, 100%, $E$13)</f>
        <v>5.8715000000000002</v>
      </c>
      <c r="K306" s="68">
        <f>5.8763 * CHOOSE(CONTROL!$C$22, $C$13, 100%, $E$13)</f>
        <v>5.8762999999999996</v>
      </c>
    </row>
    <row r="307" spans="1:11" ht="15">
      <c r="A307" s="13">
        <v>50465</v>
      </c>
      <c r="B307" s="67">
        <f>4.8783 * CHOOSE(CONTROL!$C$22, $C$13, 100%, $E$13)</f>
        <v>4.8783000000000003</v>
      </c>
      <c r="C307" s="67">
        <f>4.8783 * CHOOSE(CONTROL!$C$22, $C$13, 100%, $E$13)</f>
        <v>4.8783000000000003</v>
      </c>
      <c r="D307" s="67">
        <f>4.8821 * CHOOSE(CONTROL!$C$22, $C$13, 100%, $E$13)</f>
        <v>4.8821000000000003</v>
      </c>
      <c r="E307" s="68">
        <f>5.9428 * CHOOSE(CONTROL!$C$22, $C$13, 100%, $E$13)</f>
        <v>5.9428000000000001</v>
      </c>
      <c r="F307" s="68">
        <f>5.9428 * CHOOSE(CONTROL!$C$22, $C$13, 100%, $E$13)</f>
        <v>5.9428000000000001</v>
      </c>
      <c r="G307" s="68">
        <f>5.9476 * CHOOSE(CONTROL!$C$22, $C$13, 100%, $E$13)</f>
        <v>5.9476000000000004</v>
      </c>
      <c r="H307" s="68">
        <f>9.0243* CHOOSE(CONTROL!$C$22, $C$13, 100%, $E$13)</f>
        <v>9.0243000000000002</v>
      </c>
      <c r="I307" s="68">
        <f>9.0291 * CHOOSE(CONTROL!$C$22, $C$13, 100%, $E$13)</f>
        <v>9.0290999999999997</v>
      </c>
      <c r="J307" s="68">
        <f>5.9428 * CHOOSE(CONTROL!$C$22, $C$13, 100%, $E$13)</f>
        <v>5.9428000000000001</v>
      </c>
      <c r="K307" s="68">
        <f>5.9476 * CHOOSE(CONTROL!$C$22, $C$13, 100%, $E$13)</f>
        <v>5.9476000000000004</v>
      </c>
    </row>
    <row r="308" spans="1:11" ht="15">
      <c r="A308" s="13">
        <v>50496</v>
      </c>
      <c r="B308" s="67">
        <f>4.8767 * CHOOSE(CONTROL!$C$22, $C$13, 100%, $E$13)</f>
        <v>4.8766999999999996</v>
      </c>
      <c r="C308" s="67">
        <f>4.8767 * CHOOSE(CONTROL!$C$22, $C$13, 100%, $E$13)</f>
        <v>4.8766999999999996</v>
      </c>
      <c r="D308" s="67">
        <f>4.8805 * CHOOSE(CONTROL!$C$22, $C$13, 100%, $E$13)</f>
        <v>4.8804999999999996</v>
      </c>
      <c r="E308" s="68">
        <f>6.0175 * CHOOSE(CONTROL!$C$22, $C$13, 100%, $E$13)</f>
        <v>6.0175000000000001</v>
      </c>
      <c r="F308" s="68">
        <f>6.0175 * CHOOSE(CONTROL!$C$22, $C$13, 100%, $E$13)</f>
        <v>6.0175000000000001</v>
      </c>
      <c r="G308" s="68">
        <f>6.0222 * CHOOSE(CONTROL!$C$22, $C$13, 100%, $E$13)</f>
        <v>6.0221999999999998</v>
      </c>
      <c r="H308" s="68">
        <f>9.0431* CHOOSE(CONTROL!$C$22, $C$13, 100%, $E$13)</f>
        <v>9.0431000000000008</v>
      </c>
      <c r="I308" s="68">
        <f>9.0479 * CHOOSE(CONTROL!$C$22, $C$13, 100%, $E$13)</f>
        <v>9.0479000000000003</v>
      </c>
      <c r="J308" s="68">
        <f>6.0175 * CHOOSE(CONTROL!$C$22, $C$13, 100%, $E$13)</f>
        <v>6.0175000000000001</v>
      </c>
      <c r="K308" s="68">
        <f>6.0222 * CHOOSE(CONTROL!$C$22, $C$13, 100%, $E$13)</f>
        <v>6.0221999999999998</v>
      </c>
    </row>
    <row r="309" spans="1:11" ht="15">
      <c r="A309" s="13">
        <v>50526</v>
      </c>
      <c r="B309" s="67">
        <f>4.8767 * CHOOSE(CONTROL!$C$22, $C$13, 100%, $E$13)</f>
        <v>4.8766999999999996</v>
      </c>
      <c r="C309" s="67">
        <f>4.8767 * CHOOSE(CONTROL!$C$22, $C$13, 100%, $E$13)</f>
        <v>4.8766999999999996</v>
      </c>
      <c r="D309" s="67">
        <f>4.8822 * CHOOSE(CONTROL!$C$22, $C$13, 100%, $E$13)</f>
        <v>4.8822000000000001</v>
      </c>
      <c r="E309" s="68">
        <f>6.047 * CHOOSE(CONTROL!$C$22, $C$13, 100%, $E$13)</f>
        <v>6.0469999999999997</v>
      </c>
      <c r="F309" s="68">
        <f>6.047 * CHOOSE(CONTROL!$C$22, $C$13, 100%, $E$13)</f>
        <v>6.0469999999999997</v>
      </c>
      <c r="G309" s="68">
        <f>6.0538 * CHOOSE(CONTROL!$C$22, $C$13, 100%, $E$13)</f>
        <v>6.0537999999999998</v>
      </c>
      <c r="H309" s="68">
        <f>9.0619* CHOOSE(CONTROL!$C$22, $C$13, 100%, $E$13)</f>
        <v>9.0618999999999996</v>
      </c>
      <c r="I309" s="68">
        <f>9.0687 * CHOOSE(CONTROL!$C$22, $C$13, 100%, $E$13)</f>
        <v>9.0686999999999998</v>
      </c>
      <c r="J309" s="68">
        <f>6.047 * CHOOSE(CONTROL!$C$22, $C$13, 100%, $E$13)</f>
        <v>6.0469999999999997</v>
      </c>
      <c r="K309" s="68">
        <f>6.0538 * CHOOSE(CONTROL!$C$22, $C$13, 100%, $E$13)</f>
        <v>6.0537999999999998</v>
      </c>
    </row>
    <row r="310" spans="1:11" ht="15">
      <c r="A310" s="13">
        <v>50557</v>
      </c>
      <c r="B310" s="67">
        <f>4.8827 * CHOOSE(CONTROL!$C$22, $C$13, 100%, $E$13)</f>
        <v>4.8826999999999998</v>
      </c>
      <c r="C310" s="67">
        <f>4.8827 * CHOOSE(CONTROL!$C$22, $C$13, 100%, $E$13)</f>
        <v>4.8826999999999998</v>
      </c>
      <c r="D310" s="67">
        <f>4.8883 * CHOOSE(CONTROL!$C$22, $C$13, 100%, $E$13)</f>
        <v>4.8883000000000001</v>
      </c>
      <c r="E310" s="68">
        <f>6.0217 * CHOOSE(CONTROL!$C$22, $C$13, 100%, $E$13)</f>
        <v>6.0217000000000001</v>
      </c>
      <c r="F310" s="68">
        <f>6.0217 * CHOOSE(CONTROL!$C$22, $C$13, 100%, $E$13)</f>
        <v>6.0217000000000001</v>
      </c>
      <c r="G310" s="68">
        <f>6.0284 * CHOOSE(CONTROL!$C$22, $C$13, 100%, $E$13)</f>
        <v>6.0284000000000004</v>
      </c>
      <c r="H310" s="68">
        <f>9.0808* CHOOSE(CONTROL!$C$22, $C$13, 100%, $E$13)</f>
        <v>9.0808</v>
      </c>
      <c r="I310" s="68">
        <f>9.0876 * CHOOSE(CONTROL!$C$22, $C$13, 100%, $E$13)</f>
        <v>9.0876000000000001</v>
      </c>
      <c r="J310" s="68">
        <f>6.0217 * CHOOSE(CONTROL!$C$22, $C$13, 100%, $E$13)</f>
        <v>6.0217000000000001</v>
      </c>
      <c r="K310" s="68">
        <f>6.0284 * CHOOSE(CONTROL!$C$22, $C$13, 100%, $E$13)</f>
        <v>6.0284000000000004</v>
      </c>
    </row>
    <row r="311" spans="1:11" ht="15">
      <c r="A311" s="13">
        <v>50587</v>
      </c>
      <c r="B311" s="67">
        <f>4.9646 * CHOOSE(CONTROL!$C$22, $C$13, 100%, $E$13)</f>
        <v>4.9645999999999999</v>
      </c>
      <c r="C311" s="67">
        <f>4.9646 * CHOOSE(CONTROL!$C$22, $C$13, 100%, $E$13)</f>
        <v>4.9645999999999999</v>
      </c>
      <c r="D311" s="67">
        <f>4.9702 * CHOOSE(CONTROL!$C$22, $C$13, 100%, $E$13)</f>
        <v>4.9702000000000002</v>
      </c>
      <c r="E311" s="68">
        <f>6.1322 * CHOOSE(CONTROL!$C$22, $C$13, 100%, $E$13)</f>
        <v>6.1322000000000001</v>
      </c>
      <c r="F311" s="68">
        <f>6.1322 * CHOOSE(CONTROL!$C$22, $C$13, 100%, $E$13)</f>
        <v>6.1322000000000001</v>
      </c>
      <c r="G311" s="68">
        <f>6.1389 * CHOOSE(CONTROL!$C$22, $C$13, 100%, $E$13)</f>
        <v>6.1388999999999996</v>
      </c>
      <c r="H311" s="68">
        <f>9.0997* CHOOSE(CONTROL!$C$22, $C$13, 100%, $E$13)</f>
        <v>9.0997000000000003</v>
      </c>
      <c r="I311" s="68">
        <f>9.1065 * CHOOSE(CONTROL!$C$22, $C$13, 100%, $E$13)</f>
        <v>9.1065000000000005</v>
      </c>
      <c r="J311" s="68">
        <f>6.1322 * CHOOSE(CONTROL!$C$22, $C$13, 100%, $E$13)</f>
        <v>6.1322000000000001</v>
      </c>
      <c r="K311" s="68">
        <f>6.1389 * CHOOSE(CONTROL!$C$22, $C$13, 100%, $E$13)</f>
        <v>6.1388999999999996</v>
      </c>
    </row>
    <row r="312" spans="1:11" ht="15">
      <c r="A312" s="13">
        <v>50618</v>
      </c>
      <c r="B312" s="67">
        <f>4.9713 * CHOOSE(CONTROL!$C$22, $C$13, 100%, $E$13)</f>
        <v>4.9713000000000003</v>
      </c>
      <c r="C312" s="67">
        <f>4.9713 * CHOOSE(CONTROL!$C$22, $C$13, 100%, $E$13)</f>
        <v>4.9713000000000003</v>
      </c>
      <c r="D312" s="67">
        <f>4.9768 * CHOOSE(CONTROL!$C$22, $C$13, 100%, $E$13)</f>
        <v>4.9767999999999999</v>
      </c>
      <c r="E312" s="68">
        <f>6.0481 * CHOOSE(CONTROL!$C$22, $C$13, 100%, $E$13)</f>
        <v>6.0480999999999998</v>
      </c>
      <c r="F312" s="68">
        <f>6.0481 * CHOOSE(CONTROL!$C$22, $C$13, 100%, $E$13)</f>
        <v>6.0480999999999998</v>
      </c>
      <c r="G312" s="68">
        <f>6.0549 * CHOOSE(CONTROL!$C$22, $C$13, 100%, $E$13)</f>
        <v>6.0548999999999999</v>
      </c>
      <c r="H312" s="68">
        <f>9.1187* CHOOSE(CONTROL!$C$22, $C$13, 100%, $E$13)</f>
        <v>9.1187000000000005</v>
      </c>
      <c r="I312" s="68">
        <f>9.1254 * CHOOSE(CONTROL!$C$22, $C$13, 100%, $E$13)</f>
        <v>9.1254000000000008</v>
      </c>
      <c r="J312" s="68">
        <f>6.0481 * CHOOSE(CONTROL!$C$22, $C$13, 100%, $E$13)</f>
        <v>6.0480999999999998</v>
      </c>
      <c r="K312" s="68">
        <f>6.0549 * CHOOSE(CONTROL!$C$22, $C$13, 100%, $E$13)</f>
        <v>6.0548999999999999</v>
      </c>
    </row>
    <row r="313" spans="1:11" ht="15">
      <c r="A313" s="13">
        <v>50649</v>
      </c>
      <c r="B313" s="67">
        <f>4.9683 * CHOOSE(CONTROL!$C$22, $C$13, 100%, $E$13)</f>
        <v>4.9683000000000002</v>
      </c>
      <c r="C313" s="67">
        <f>4.9683 * CHOOSE(CONTROL!$C$22, $C$13, 100%, $E$13)</f>
        <v>4.9683000000000002</v>
      </c>
      <c r="D313" s="67">
        <f>4.9738 * CHOOSE(CONTROL!$C$22, $C$13, 100%, $E$13)</f>
        <v>4.9737999999999998</v>
      </c>
      <c r="E313" s="68">
        <f>6.0361 * CHOOSE(CONTROL!$C$22, $C$13, 100%, $E$13)</f>
        <v>6.0361000000000002</v>
      </c>
      <c r="F313" s="68">
        <f>6.0361 * CHOOSE(CONTROL!$C$22, $C$13, 100%, $E$13)</f>
        <v>6.0361000000000002</v>
      </c>
      <c r="G313" s="68">
        <f>6.0429 * CHOOSE(CONTROL!$C$22, $C$13, 100%, $E$13)</f>
        <v>6.0429000000000004</v>
      </c>
      <c r="H313" s="68">
        <f>9.1377* CHOOSE(CONTROL!$C$22, $C$13, 100%, $E$13)</f>
        <v>9.1377000000000006</v>
      </c>
      <c r="I313" s="68">
        <f>9.1444 * CHOOSE(CONTROL!$C$22, $C$13, 100%, $E$13)</f>
        <v>9.1443999999999992</v>
      </c>
      <c r="J313" s="68">
        <f>6.0361 * CHOOSE(CONTROL!$C$22, $C$13, 100%, $E$13)</f>
        <v>6.0361000000000002</v>
      </c>
      <c r="K313" s="68">
        <f>6.0429 * CHOOSE(CONTROL!$C$22, $C$13, 100%, $E$13)</f>
        <v>6.0429000000000004</v>
      </c>
    </row>
    <row r="314" spans="1:11" ht="15">
      <c r="A314" s="13">
        <v>50679</v>
      </c>
      <c r="B314" s="67">
        <f>4.9666 * CHOOSE(CONTROL!$C$22, $C$13, 100%, $E$13)</f>
        <v>4.9665999999999997</v>
      </c>
      <c r="C314" s="67">
        <f>4.9666 * CHOOSE(CONTROL!$C$22, $C$13, 100%, $E$13)</f>
        <v>4.9665999999999997</v>
      </c>
      <c r="D314" s="67">
        <f>4.9704 * CHOOSE(CONTROL!$C$22, $C$13, 100%, $E$13)</f>
        <v>4.9703999999999997</v>
      </c>
      <c r="E314" s="68">
        <f>6.0622 * CHOOSE(CONTROL!$C$22, $C$13, 100%, $E$13)</f>
        <v>6.0621999999999998</v>
      </c>
      <c r="F314" s="68">
        <f>6.0622 * CHOOSE(CONTROL!$C$22, $C$13, 100%, $E$13)</f>
        <v>6.0621999999999998</v>
      </c>
      <c r="G314" s="68">
        <f>6.0669 * CHOOSE(CONTROL!$C$22, $C$13, 100%, $E$13)</f>
        <v>6.0669000000000004</v>
      </c>
      <c r="H314" s="68">
        <f>9.1567* CHOOSE(CONTROL!$C$22, $C$13, 100%, $E$13)</f>
        <v>9.1567000000000007</v>
      </c>
      <c r="I314" s="68">
        <f>9.1615 * CHOOSE(CONTROL!$C$22, $C$13, 100%, $E$13)</f>
        <v>9.1615000000000002</v>
      </c>
      <c r="J314" s="68">
        <f>6.0622 * CHOOSE(CONTROL!$C$22, $C$13, 100%, $E$13)</f>
        <v>6.0621999999999998</v>
      </c>
      <c r="K314" s="68">
        <f>6.0669 * CHOOSE(CONTROL!$C$22, $C$13, 100%, $E$13)</f>
        <v>6.0669000000000004</v>
      </c>
    </row>
    <row r="315" spans="1:11" ht="15">
      <c r="A315" s="13">
        <v>50710</v>
      </c>
      <c r="B315" s="67">
        <f>4.9696 * CHOOSE(CONTROL!$C$22, $C$13, 100%, $E$13)</f>
        <v>4.9695999999999998</v>
      </c>
      <c r="C315" s="67">
        <f>4.9696 * CHOOSE(CONTROL!$C$22, $C$13, 100%, $E$13)</f>
        <v>4.9695999999999998</v>
      </c>
      <c r="D315" s="67">
        <f>4.9735 * CHOOSE(CONTROL!$C$22, $C$13, 100%, $E$13)</f>
        <v>4.9734999999999996</v>
      </c>
      <c r="E315" s="68">
        <f>6.084 * CHOOSE(CONTROL!$C$22, $C$13, 100%, $E$13)</f>
        <v>6.0839999999999996</v>
      </c>
      <c r="F315" s="68">
        <f>6.084 * CHOOSE(CONTROL!$C$22, $C$13, 100%, $E$13)</f>
        <v>6.0839999999999996</v>
      </c>
      <c r="G315" s="68">
        <f>6.0888 * CHOOSE(CONTROL!$C$22, $C$13, 100%, $E$13)</f>
        <v>6.0888</v>
      </c>
      <c r="H315" s="68">
        <f>9.1758* CHOOSE(CONTROL!$C$22, $C$13, 100%, $E$13)</f>
        <v>9.1758000000000006</v>
      </c>
      <c r="I315" s="68">
        <f>9.1806 * CHOOSE(CONTROL!$C$22, $C$13, 100%, $E$13)</f>
        <v>9.1806000000000001</v>
      </c>
      <c r="J315" s="68">
        <f>6.084 * CHOOSE(CONTROL!$C$22, $C$13, 100%, $E$13)</f>
        <v>6.0839999999999996</v>
      </c>
      <c r="K315" s="68">
        <f>6.0888 * CHOOSE(CONTROL!$C$22, $C$13, 100%, $E$13)</f>
        <v>6.0888</v>
      </c>
    </row>
    <row r="316" spans="1:11" ht="15">
      <c r="A316" s="13">
        <v>50740</v>
      </c>
      <c r="B316" s="67">
        <f>4.9696 * CHOOSE(CONTROL!$C$22, $C$13, 100%, $E$13)</f>
        <v>4.9695999999999998</v>
      </c>
      <c r="C316" s="67">
        <f>4.9696 * CHOOSE(CONTROL!$C$22, $C$13, 100%, $E$13)</f>
        <v>4.9695999999999998</v>
      </c>
      <c r="D316" s="67">
        <f>4.9735 * CHOOSE(CONTROL!$C$22, $C$13, 100%, $E$13)</f>
        <v>4.9734999999999996</v>
      </c>
      <c r="E316" s="68">
        <f>6.061 * CHOOSE(CONTROL!$C$22, $C$13, 100%, $E$13)</f>
        <v>6.0609999999999999</v>
      </c>
      <c r="F316" s="68">
        <f>6.061 * CHOOSE(CONTROL!$C$22, $C$13, 100%, $E$13)</f>
        <v>6.0609999999999999</v>
      </c>
      <c r="G316" s="68">
        <f>6.0658 * CHOOSE(CONTROL!$C$22, $C$13, 100%, $E$13)</f>
        <v>6.0658000000000003</v>
      </c>
      <c r="H316" s="68">
        <f>9.1949* CHOOSE(CONTROL!$C$22, $C$13, 100%, $E$13)</f>
        <v>9.1949000000000005</v>
      </c>
      <c r="I316" s="68">
        <f>9.1997 * CHOOSE(CONTROL!$C$22, $C$13, 100%, $E$13)</f>
        <v>9.1997</v>
      </c>
      <c r="J316" s="68">
        <f>6.061 * CHOOSE(CONTROL!$C$22, $C$13, 100%, $E$13)</f>
        <v>6.0609999999999999</v>
      </c>
      <c r="K316" s="68">
        <f>6.0658 * CHOOSE(CONTROL!$C$22, $C$13, 100%, $E$13)</f>
        <v>6.0658000000000003</v>
      </c>
    </row>
    <row r="317" spans="1:11" ht="15">
      <c r="A317" s="13">
        <v>50771</v>
      </c>
      <c r="B317" s="67">
        <f>5.014 * CHOOSE(CONTROL!$C$22, $C$13, 100%, $E$13)</f>
        <v>5.0140000000000002</v>
      </c>
      <c r="C317" s="67">
        <f>5.014 * CHOOSE(CONTROL!$C$22, $C$13, 100%, $E$13)</f>
        <v>5.0140000000000002</v>
      </c>
      <c r="D317" s="67">
        <f>5.0178 * CHOOSE(CONTROL!$C$22, $C$13, 100%, $E$13)</f>
        <v>5.0178000000000003</v>
      </c>
      <c r="E317" s="68">
        <f>6.1195 * CHOOSE(CONTROL!$C$22, $C$13, 100%, $E$13)</f>
        <v>6.1195000000000004</v>
      </c>
      <c r="F317" s="68">
        <f>6.1195 * CHOOSE(CONTROL!$C$22, $C$13, 100%, $E$13)</f>
        <v>6.1195000000000004</v>
      </c>
      <c r="G317" s="68">
        <f>6.1242 * CHOOSE(CONTROL!$C$22, $C$13, 100%, $E$13)</f>
        <v>6.1242000000000001</v>
      </c>
      <c r="H317" s="68">
        <f>9.2141* CHOOSE(CONTROL!$C$22, $C$13, 100%, $E$13)</f>
        <v>9.2141000000000002</v>
      </c>
      <c r="I317" s="68">
        <f>9.2188 * CHOOSE(CONTROL!$C$22, $C$13, 100%, $E$13)</f>
        <v>9.2187999999999999</v>
      </c>
      <c r="J317" s="68">
        <f>6.1195 * CHOOSE(CONTROL!$C$22, $C$13, 100%, $E$13)</f>
        <v>6.1195000000000004</v>
      </c>
      <c r="K317" s="68">
        <f>6.1242 * CHOOSE(CONTROL!$C$22, $C$13, 100%, $E$13)</f>
        <v>6.1242000000000001</v>
      </c>
    </row>
    <row r="318" spans="1:11" ht="15">
      <c r="A318" s="13">
        <v>50802</v>
      </c>
      <c r="B318" s="67">
        <f>5.0109 * CHOOSE(CONTROL!$C$22, $C$13, 100%, $E$13)</f>
        <v>5.0109000000000004</v>
      </c>
      <c r="C318" s="67">
        <f>5.0109 * CHOOSE(CONTROL!$C$22, $C$13, 100%, $E$13)</f>
        <v>5.0109000000000004</v>
      </c>
      <c r="D318" s="67">
        <f>5.0148 * CHOOSE(CONTROL!$C$22, $C$13, 100%, $E$13)</f>
        <v>5.0148000000000001</v>
      </c>
      <c r="E318" s="68">
        <f>6.0216 * CHOOSE(CONTROL!$C$22, $C$13, 100%, $E$13)</f>
        <v>6.0216000000000003</v>
      </c>
      <c r="F318" s="68">
        <f>6.0216 * CHOOSE(CONTROL!$C$22, $C$13, 100%, $E$13)</f>
        <v>6.0216000000000003</v>
      </c>
      <c r="G318" s="68">
        <f>6.0264 * CHOOSE(CONTROL!$C$22, $C$13, 100%, $E$13)</f>
        <v>6.0263999999999998</v>
      </c>
      <c r="H318" s="68">
        <f>9.2333* CHOOSE(CONTROL!$C$22, $C$13, 100%, $E$13)</f>
        <v>9.2332999999999998</v>
      </c>
      <c r="I318" s="68">
        <f>9.238 * CHOOSE(CONTROL!$C$22, $C$13, 100%, $E$13)</f>
        <v>9.2379999999999995</v>
      </c>
      <c r="J318" s="68">
        <f>6.0216 * CHOOSE(CONTROL!$C$22, $C$13, 100%, $E$13)</f>
        <v>6.0216000000000003</v>
      </c>
      <c r="K318" s="68">
        <f>6.0264 * CHOOSE(CONTROL!$C$22, $C$13, 100%, $E$13)</f>
        <v>6.0263999999999998</v>
      </c>
    </row>
    <row r="319" spans="1:11" ht="15">
      <c r="A319" s="13">
        <v>50830</v>
      </c>
      <c r="B319" s="67">
        <f>5.0079 * CHOOSE(CONTROL!$C$22, $C$13, 100%, $E$13)</f>
        <v>5.0079000000000002</v>
      </c>
      <c r="C319" s="67">
        <f>5.0079 * CHOOSE(CONTROL!$C$22, $C$13, 100%, $E$13)</f>
        <v>5.0079000000000002</v>
      </c>
      <c r="D319" s="67">
        <f>5.0118 * CHOOSE(CONTROL!$C$22, $C$13, 100%, $E$13)</f>
        <v>5.0118</v>
      </c>
      <c r="E319" s="68">
        <f>6.095 * CHOOSE(CONTROL!$C$22, $C$13, 100%, $E$13)</f>
        <v>6.0949999999999998</v>
      </c>
      <c r="F319" s="68">
        <f>6.095 * CHOOSE(CONTROL!$C$22, $C$13, 100%, $E$13)</f>
        <v>6.0949999999999998</v>
      </c>
      <c r="G319" s="68">
        <f>6.0997 * CHOOSE(CONTROL!$C$22, $C$13, 100%, $E$13)</f>
        <v>6.0997000000000003</v>
      </c>
      <c r="H319" s="68">
        <f>9.2525* CHOOSE(CONTROL!$C$22, $C$13, 100%, $E$13)</f>
        <v>9.2524999999999995</v>
      </c>
      <c r="I319" s="68">
        <f>9.2573 * CHOOSE(CONTROL!$C$22, $C$13, 100%, $E$13)</f>
        <v>9.2573000000000008</v>
      </c>
      <c r="J319" s="68">
        <f>6.095 * CHOOSE(CONTROL!$C$22, $C$13, 100%, $E$13)</f>
        <v>6.0949999999999998</v>
      </c>
      <c r="K319" s="68">
        <f>6.0997 * CHOOSE(CONTROL!$C$22, $C$13, 100%, $E$13)</f>
        <v>6.0997000000000003</v>
      </c>
    </row>
    <row r="320" spans="1:11" ht="15">
      <c r="A320" s="13">
        <v>50861</v>
      </c>
      <c r="B320" s="67">
        <f>5.0064 * CHOOSE(CONTROL!$C$22, $C$13, 100%, $E$13)</f>
        <v>5.0064000000000002</v>
      </c>
      <c r="C320" s="67">
        <f>5.0064 * CHOOSE(CONTROL!$C$22, $C$13, 100%, $E$13)</f>
        <v>5.0064000000000002</v>
      </c>
      <c r="D320" s="67">
        <f>5.0103 * CHOOSE(CONTROL!$C$22, $C$13, 100%, $E$13)</f>
        <v>5.0103</v>
      </c>
      <c r="E320" s="68">
        <f>6.1718 * CHOOSE(CONTROL!$C$22, $C$13, 100%, $E$13)</f>
        <v>6.1718000000000002</v>
      </c>
      <c r="F320" s="68">
        <f>6.1718 * CHOOSE(CONTROL!$C$22, $C$13, 100%, $E$13)</f>
        <v>6.1718000000000002</v>
      </c>
      <c r="G320" s="68">
        <f>6.1765 * CHOOSE(CONTROL!$C$22, $C$13, 100%, $E$13)</f>
        <v>6.1764999999999999</v>
      </c>
      <c r="H320" s="68">
        <f>9.2718* CHOOSE(CONTROL!$C$22, $C$13, 100%, $E$13)</f>
        <v>9.2718000000000007</v>
      </c>
      <c r="I320" s="68">
        <f>9.2766 * CHOOSE(CONTROL!$C$22, $C$13, 100%, $E$13)</f>
        <v>9.2766000000000002</v>
      </c>
      <c r="J320" s="68">
        <f>6.1718 * CHOOSE(CONTROL!$C$22, $C$13, 100%, $E$13)</f>
        <v>6.1718000000000002</v>
      </c>
      <c r="K320" s="68">
        <f>6.1765 * CHOOSE(CONTROL!$C$22, $C$13, 100%, $E$13)</f>
        <v>6.1764999999999999</v>
      </c>
    </row>
    <row r="321" spans="1:11" ht="15">
      <c r="A321" s="13">
        <v>50891</v>
      </c>
      <c r="B321" s="67">
        <f>5.0064 * CHOOSE(CONTROL!$C$22, $C$13, 100%, $E$13)</f>
        <v>5.0064000000000002</v>
      </c>
      <c r="C321" s="67">
        <f>5.0064 * CHOOSE(CONTROL!$C$22, $C$13, 100%, $E$13)</f>
        <v>5.0064000000000002</v>
      </c>
      <c r="D321" s="67">
        <f>5.0119 * CHOOSE(CONTROL!$C$22, $C$13, 100%, $E$13)</f>
        <v>5.0118999999999998</v>
      </c>
      <c r="E321" s="68">
        <f>6.2021 * CHOOSE(CONTROL!$C$22, $C$13, 100%, $E$13)</f>
        <v>6.2020999999999997</v>
      </c>
      <c r="F321" s="68">
        <f>6.2021 * CHOOSE(CONTROL!$C$22, $C$13, 100%, $E$13)</f>
        <v>6.2020999999999997</v>
      </c>
      <c r="G321" s="68">
        <f>6.2089 * CHOOSE(CONTROL!$C$22, $C$13, 100%, $E$13)</f>
        <v>6.2088999999999999</v>
      </c>
      <c r="H321" s="68">
        <f>9.2911* CHOOSE(CONTROL!$C$22, $C$13, 100%, $E$13)</f>
        <v>9.2911000000000001</v>
      </c>
      <c r="I321" s="68">
        <f>9.2978 * CHOOSE(CONTROL!$C$22, $C$13, 100%, $E$13)</f>
        <v>9.2978000000000005</v>
      </c>
      <c r="J321" s="68">
        <f>6.2021 * CHOOSE(CONTROL!$C$22, $C$13, 100%, $E$13)</f>
        <v>6.2020999999999997</v>
      </c>
      <c r="K321" s="68">
        <f>6.2089 * CHOOSE(CONTROL!$C$22, $C$13, 100%, $E$13)</f>
        <v>6.2088999999999999</v>
      </c>
    </row>
    <row r="322" spans="1:11" ht="15">
      <c r="A322" s="13">
        <v>50922</v>
      </c>
      <c r="B322" s="67">
        <f>5.0125 * CHOOSE(CONTROL!$C$22, $C$13, 100%, $E$13)</f>
        <v>5.0125000000000002</v>
      </c>
      <c r="C322" s="67">
        <f>5.0125 * CHOOSE(CONTROL!$C$22, $C$13, 100%, $E$13)</f>
        <v>5.0125000000000002</v>
      </c>
      <c r="D322" s="67">
        <f>5.018 * CHOOSE(CONTROL!$C$22, $C$13, 100%, $E$13)</f>
        <v>5.0179999999999998</v>
      </c>
      <c r="E322" s="68">
        <f>6.176 * CHOOSE(CONTROL!$C$22, $C$13, 100%, $E$13)</f>
        <v>6.1760000000000002</v>
      </c>
      <c r="F322" s="68">
        <f>6.176 * CHOOSE(CONTROL!$C$22, $C$13, 100%, $E$13)</f>
        <v>6.1760000000000002</v>
      </c>
      <c r="G322" s="68">
        <f>6.1827 * CHOOSE(CONTROL!$C$22, $C$13, 100%, $E$13)</f>
        <v>6.1826999999999996</v>
      </c>
      <c r="H322" s="68">
        <f>9.3105* CHOOSE(CONTROL!$C$22, $C$13, 100%, $E$13)</f>
        <v>9.3104999999999993</v>
      </c>
      <c r="I322" s="68">
        <f>9.3172 * CHOOSE(CONTROL!$C$22, $C$13, 100%, $E$13)</f>
        <v>9.3171999999999997</v>
      </c>
      <c r="J322" s="68">
        <f>6.176 * CHOOSE(CONTROL!$C$22, $C$13, 100%, $E$13)</f>
        <v>6.1760000000000002</v>
      </c>
      <c r="K322" s="68">
        <f>6.1827 * CHOOSE(CONTROL!$C$22, $C$13, 100%, $E$13)</f>
        <v>6.1826999999999996</v>
      </c>
    </row>
    <row r="323" spans="1:11" ht="15">
      <c r="A323" s="13">
        <v>50952</v>
      </c>
      <c r="B323" s="67">
        <f>5.0952 * CHOOSE(CONTROL!$C$22, $C$13, 100%, $E$13)</f>
        <v>5.0952000000000002</v>
      </c>
      <c r="C323" s="67">
        <f>5.0952 * CHOOSE(CONTROL!$C$22, $C$13, 100%, $E$13)</f>
        <v>5.0952000000000002</v>
      </c>
      <c r="D323" s="67">
        <f>5.1007 * CHOOSE(CONTROL!$C$22, $C$13, 100%, $E$13)</f>
        <v>5.1006999999999998</v>
      </c>
      <c r="E323" s="68">
        <f>6.2809 * CHOOSE(CONTROL!$C$22, $C$13, 100%, $E$13)</f>
        <v>6.2808999999999999</v>
      </c>
      <c r="F323" s="68">
        <f>6.2809 * CHOOSE(CONTROL!$C$22, $C$13, 100%, $E$13)</f>
        <v>6.2808999999999999</v>
      </c>
      <c r="G323" s="68">
        <f>6.2877 * CHOOSE(CONTROL!$C$22, $C$13, 100%, $E$13)</f>
        <v>6.2877000000000001</v>
      </c>
      <c r="H323" s="68">
        <f>9.3299* CHOOSE(CONTROL!$C$22, $C$13, 100%, $E$13)</f>
        <v>9.3299000000000003</v>
      </c>
      <c r="I323" s="68">
        <f>9.3366 * CHOOSE(CONTROL!$C$22, $C$13, 100%, $E$13)</f>
        <v>9.3366000000000007</v>
      </c>
      <c r="J323" s="68">
        <f>6.2809 * CHOOSE(CONTROL!$C$22, $C$13, 100%, $E$13)</f>
        <v>6.2808999999999999</v>
      </c>
      <c r="K323" s="68">
        <f>6.2877 * CHOOSE(CONTROL!$C$22, $C$13, 100%, $E$13)</f>
        <v>6.2877000000000001</v>
      </c>
    </row>
    <row r="324" spans="1:11" ht="15">
      <c r="A324" s="13">
        <v>50983</v>
      </c>
      <c r="B324" s="67">
        <f>5.1019 * CHOOSE(CONTROL!$C$22, $C$13, 100%, $E$13)</f>
        <v>5.1018999999999997</v>
      </c>
      <c r="C324" s="67">
        <f>5.1019 * CHOOSE(CONTROL!$C$22, $C$13, 100%, $E$13)</f>
        <v>5.1018999999999997</v>
      </c>
      <c r="D324" s="67">
        <f>5.1074 * CHOOSE(CONTROL!$C$22, $C$13, 100%, $E$13)</f>
        <v>5.1074000000000002</v>
      </c>
      <c r="E324" s="68">
        <f>6.1944 * CHOOSE(CONTROL!$C$22, $C$13, 100%, $E$13)</f>
        <v>6.1943999999999999</v>
      </c>
      <c r="F324" s="68">
        <f>6.1944 * CHOOSE(CONTROL!$C$22, $C$13, 100%, $E$13)</f>
        <v>6.1943999999999999</v>
      </c>
      <c r="G324" s="68">
        <f>6.2012 * CHOOSE(CONTROL!$C$22, $C$13, 100%, $E$13)</f>
        <v>6.2012</v>
      </c>
      <c r="H324" s="68">
        <f>9.3493* CHOOSE(CONTROL!$C$22, $C$13, 100%, $E$13)</f>
        <v>9.3492999999999995</v>
      </c>
      <c r="I324" s="68">
        <f>9.356 * CHOOSE(CONTROL!$C$22, $C$13, 100%, $E$13)</f>
        <v>9.3559999999999999</v>
      </c>
      <c r="J324" s="68">
        <f>6.1944 * CHOOSE(CONTROL!$C$22, $C$13, 100%, $E$13)</f>
        <v>6.1943999999999999</v>
      </c>
      <c r="K324" s="68">
        <f>6.2012 * CHOOSE(CONTROL!$C$22, $C$13, 100%, $E$13)</f>
        <v>6.2012</v>
      </c>
    </row>
    <row r="325" spans="1:11" ht="15">
      <c r="A325" s="13">
        <v>51014</v>
      </c>
      <c r="B325" s="67">
        <f>5.0988 * CHOOSE(CONTROL!$C$22, $C$13, 100%, $E$13)</f>
        <v>5.0987999999999998</v>
      </c>
      <c r="C325" s="67">
        <f>5.0988 * CHOOSE(CONTROL!$C$22, $C$13, 100%, $E$13)</f>
        <v>5.0987999999999998</v>
      </c>
      <c r="D325" s="67">
        <f>5.1043 * CHOOSE(CONTROL!$C$22, $C$13, 100%, $E$13)</f>
        <v>5.1043000000000003</v>
      </c>
      <c r="E325" s="68">
        <f>6.1822 * CHOOSE(CONTROL!$C$22, $C$13, 100%, $E$13)</f>
        <v>6.1821999999999999</v>
      </c>
      <c r="F325" s="68">
        <f>6.1822 * CHOOSE(CONTROL!$C$22, $C$13, 100%, $E$13)</f>
        <v>6.1821999999999999</v>
      </c>
      <c r="G325" s="68">
        <f>6.1889 * CHOOSE(CONTROL!$C$22, $C$13, 100%, $E$13)</f>
        <v>6.1889000000000003</v>
      </c>
      <c r="H325" s="68">
        <f>9.3688* CHOOSE(CONTROL!$C$22, $C$13, 100%, $E$13)</f>
        <v>9.3688000000000002</v>
      </c>
      <c r="I325" s="68">
        <f>9.3755 * CHOOSE(CONTROL!$C$22, $C$13, 100%, $E$13)</f>
        <v>9.3755000000000006</v>
      </c>
      <c r="J325" s="68">
        <f>6.1822 * CHOOSE(CONTROL!$C$22, $C$13, 100%, $E$13)</f>
        <v>6.1821999999999999</v>
      </c>
      <c r="K325" s="68">
        <f>6.1889 * CHOOSE(CONTROL!$C$22, $C$13, 100%, $E$13)</f>
        <v>6.1889000000000003</v>
      </c>
    </row>
    <row r="326" spans="1:11" ht="15">
      <c r="A326" s="13">
        <v>51044</v>
      </c>
      <c r="B326" s="67">
        <f>5.0975 * CHOOSE(CONTROL!$C$22, $C$13, 100%, $E$13)</f>
        <v>5.0975000000000001</v>
      </c>
      <c r="C326" s="67">
        <f>5.0975 * CHOOSE(CONTROL!$C$22, $C$13, 100%, $E$13)</f>
        <v>5.0975000000000001</v>
      </c>
      <c r="D326" s="67">
        <f>5.1014 * CHOOSE(CONTROL!$C$22, $C$13, 100%, $E$13)</f>
        <v>5.1013999999999999</v>
      </c>
      <c r="E326" s="68">
        <f>6.2093 * CHOOSE(CONTROL!$C$22, $C$13, 100%, $E$13)</f>
        <v>6.2092999999999998</v>
      </c>
      <c r="F326" s="68">
        <f>6.2093 * CHOOSE(CONTROL!$C$22, $C$13, 100%, $E$13)</f>
        <v>6.2092999999999998</v>
      </c>
      <c r="G326" s="68">
        <f>6.214 * CHOOSE(CONTROL!$C$22, $C$13, 100%, $E$13)</f>
        <v>6.2140000000000004</v>
      </c>
      <c r="H326" s="68">
        <f>9.3883* CHOOSE(CONTROL!$C$22, $C$13, 100%, $E$13)</f>
        <v>9.3882999999999992</v>
      </c>
      <c r="I326" s="68">
        <f>9.3931 * CHOOSE(CONTROL!$C$22, $C$13, 100%, $E$13)</f>
        <v>9.3931000000000004</v>
      </c>
      <c r="J326" s="68">
        <f>6.2093 * CHOOSE(CONTROL!$C$22, $C$13, 100%, $E$13)</f>
        <v>6.2092999999999998</v>
      </c>
      <c r="K326" s="68">
        <f>6.214 * CHOOSE(CONTROL!$C$22, $C$13, 100%, $E$13)</f>
        <v>6.2140000000000004</v>
      </c>
    </row>
    <row r="327" spans="1:11" ht="15">
      <c r="A327" s="13">
        <v>51075</v>
      </c>
      <c r="B327" s="67">
        <f>5.1006 * CHOOSE(CONTROL!$C$22, $C$13, 100%, $E$13)</f>
        <v>5.1006</v>
      </c>
      <c r="C327" s="67">
        <f>5.1006 * CHOOSE(CONTROL!$C$22, $C$13, 100%, $E$13)</f>
        <v>5.1006</v>
      </c>
      <c r="D327" s="67">
        <f>5.1044 * CHOOSE(CONTROL!$C$22, $C$13, 100%, $E$13)</f>
        <v>5.1044</v>
      </c>
      <c r="E327" s="68">
        <f>6.2316 * CHOOSE(CONTROL!$C$22, $C$13, 100%, $E$13)</f>
        <v>6.2316000000000003</v>
      </c>
      <c r="F327" s="68">
        <f>6.2316 * CHOOSE(CONTROL!$C$22, $C$13, 100%, $E$13)</f>
        <v>6.2316000000000003</v>
      </c>
      <c r="G327" s="68">
        <f>6.2364 * CHOOSE(CONTROL!$C$22, $C$13, 100%, $E$13)</f>
        <v>6.2363999999999997</v>
      </c>
      <c r="H327" s="68">
        <f>9.4078* CHOOSE(CONTROL!$C$22, $C$13, 100%, $E$13)</f>
        <v>9.4077999999999999</v>
      </c>
      <c r="I327" s="68">
        <f>9.4126 * CHOOSE(CONTROL!$C$22, $C$13, 100%, $E$13)</f>
        <v>9.4125999999999994</v>
      </c>
      <c r="J327" s="68">
        <f>6.2316 * CHOOSE(CONTROL!$C$22, $C$13, 100%, $E$13)</f>
        <v>6.2316000000000003</v>
      </c>
      <c r="K327" s="68">
        <f>6.2364 * CHOOSE(CONTROL!$C$22, $C$13, 100%, $E$13)</f>
        <v>6.2363999999999997</v>
      </c>
    </row>
    <row r="328" spans="1:11" ht="15">
      <c r="A328" s="13">
        <v>51105</v>
      </c>
      <c r="B328" s="67">
        <f>5.1006 * CHOOSE(CONTROL!$C$22, $C$13, 100%, $E$13)</f>
        <v>5.1006</v>
      </c>
      <c r="C328" s="67">
        <f>5.1006 * CHOOSE(CONTROL!$C$22, $C$13, 100%, $E$13)</f>
        <v>5.1006</v>
      </c>
      <c r="D328" s="67">
        <f>5.1044 * CHOOSE(CONTROL!$C$22, $C$13, 100%, $E$13)</f>
        <v>5.1044</v>
      </c>
      <c r="E328" s="68">
        <f>6.181 * CHOOSE(CONTROL!$C$22, $C$13, 100%, $E$13)</f>
        <v>6.181</v>
      </c>
      <c r="F328" s="68">
        <f>6.181 * CHOOSE(CONTROL!$C$22, $C$13, 100%, $E$13)</f>
        <v>6.181</v>
      </c>
      <c r="G328" s="68">
        <f>6.1858 * CHOOSE(CONTROL!$C$22, $C$13, 100%, $E$13)</f>
        <v>6.1858000000000004</v>
      </c>
      <c r="H328" s="68">
        <f>9.4274* CHOOSE(CONTROL!$C$22, $C$13, 100%, $E$13)</f>
        <v>9.4274000000000004</v>
      </c>
      <c r="I328" s="68">
        <f>9.4322 * CHOOSE(CONTROL!$C$22, $C$13, 100%, $E$13)</f>
        <v>9.4321999999999999</v>
      </c>
      <c r="J328" s="68">
        <f>6.181 * CHOOSE(CONTROL!$C$22, $C$13, 100%, $E$13)</f>
        <v>6.181</v>
      </c>
      <c r="K328" s="68">
        <f>6.1858 * CHOOSE(CONTROL!$C$22, $C$13, 100%, $E$13)</f>
        <v>6.1858000000000004</v>
      </c>
    </row>
    <row r="329" spans="1:11" ht="15">
      <c r="A329" s="13">
        <v>51136</v>
      </c>
      <c r="B329" s="67">
        <f>5.146 * CHOOSE(CONTROL!$C$22, $C$13, 100%, $E$13)</f>
        <v>5.1459999999999999</v>
      </c>
      <c r="C329" s="67">
        <f>5.146 * CHOOSE(CONTROL!$C$22, $C$13, 100%, $E$13)</f>
        <v>5.1459999999999999</v>
      </c>
      <c r="D329" s="67">
        <f>5.1498 * CHOOSE(CONTROL!$C$22, $C$13, 100%, $E$13)</f>
        <v>5.1497999999999999</v>
      </c>
      <c r="E329" s="68">
        <f>6.2686 * CHOOSE(CONTROL!$C$22, $C$13, 100%, $E$13)</f>
        <v>6.2686000000000002</v>
      </c>
      <c r="F329" s="68">
        <f>6.2686 * CHOOSE(CONTROL!$C$22, $C$13, 100%, $E$13)</f>
        <v>6.2686000000000002</v>
      </c>
      <c r="G329" s="68">
        <f>6.2734 * CHOOSE(CONTROL!$C$22, $C$13, 100%, $E$13)</f>
        <v>6.2733999999999996</v>
      </c>
      <c r="H329" s="68">
        <f>9.4471* CHOOSE(CONTROL!$C$22, $C$13, 100%, $E$13)</f>
        <v>9.4471000000000007</v>
      </c>
      <c r="I329" s="68">
        <f>9.4519 * CHOOSE(CONTROL!$C$22, $C$13, 100%, $E$13)</f>
        <v>9.4519000000000002</v>
      </c>
      <c r="J329" s="68">
        <f>6.2686 * CHOOSE(CONTROL!$C$22, $C$13, 100%, $E$13)</f>
        <v>6.2686000000000002</v>
      </c>
      <c r="K329" s="68">
        <f>6.2734 * CHOOSE(CONTROL!$C$22, $C$13, 100%, $E$13)</f>
        <v>6.2733999999999996</v>
      </c>
    </row>
    <row r="330" spans="1:11" ht="15">
      <c r="A330" s="13">
        <v>51167</v>
      </c>
      <c r="B330" s="67">
        <f>5.1429 * CHOOSE(CONTROL!$C$22, $C$13, 100%, $E$13)</f>
        <v>5.1429</v>
      </c>
      <c r="C330" s="67">
        <f>5.1429 * CHOOSE(CONTROL!$C$22, $C$13, 100%, $E$13)</f>
        <v>5.1429</v>
      </c>
      <c r="D330" s="67">
        <f>5.1468 * CHOOSE(CONTROL!$C$22, $C$13, 100%, $E$13)</f>
        <v>5.1467999999999998</v>
      </c>
      <c r="E330" s="68">
        <f>6.1681 * CHOOSE(CONTROL!$C$22, $C$13, 100%, $E$13)</f>
        <v>6.1680999999999999</v>
      </c>
      <c r="F330" s="68">
        <f>6.1681 * CHOOSE(CONTROL!$C$22, $C$13, 100%, $E$13)</f>
        <v>6.1680999999999999</v>
      </c>
      <c r="G330" s="68">
        <f>6.1728 * CHOOSE(CONTROL!$C$22, $C$13, 100%, $E$13)</f>
        <v>6.1727999999999996</v>
      </c>
      <c r="H330" s="68">
        <f>9.4668* CHOOSE(CONTROL!$C$22, $C$13, 100%, $E$13)</f>
        <v>9.4667999999999992</v>
      </c>
      <c r="I330" s="68">
        <f>9.4715 * CHOOSE(CONTROL!$C$22, $C$13, 100%, $E$13)</f>
        <v>9.4715000000000007</v>
      </c>
      <c r="J330" s="68">
        <f>6.1681 * CHOOSE(CONTROL!$C$22, $C$13, 100%, $E$13)</f>
        <v>6.1680999999999999</v>
      </c>
      <c r="K330" s="68">
        <f>6.1728 * CHOOSE(CONTROL!$C$22, $C$13, 100%, $E$13)</f>
        <v>6.1727999999999996</v>
      </c>
    </row>
    <row r="331" spans="1:11" ht="15">
      <c r="A331" s="13">
        <v>51196</v>
      </c>
      <c r="B331" s="67">
        <f>5.1399 * CHOOSE(CONTROL!$C$22, $C$13, 100%, $E$13)</f>
        <v>5.1398999999999999</v>
      </c>
      <c r="C331" s="67">
        <f>5.1399 * CHOOSE(CONTROL!$C$22, $C$13, 100%, $E$13)</f>
        <v>5.1398999999999999</v>
      </c>
      <c r="D331" s="67">
        <f>5.1437 * CHOOSE(CONTROL!$C$22, $C$13, 100%, $E$13)</f>
        <v>5.1436999999999999</v>
      </c>
      <c r="E331" s="68">
        <f>6.2435 * CHOOSE(CONTROL!$C$22, $C$13, 100%, $E$13)</f>
        <v>6.2435</v>
      </c>
      <c r="F331" s="68">
        <f>6.2435 * CHOOSE(CONTROL!$C$22, $C$13, 100%, $E$13)</f>
        <v>6.2435</v>
      </c>
      <c r="G331" s="68">
        <f>6.2483 * CHOOSE(CONTROL!$C$22, $C$13, 100%, $E$13)</f>
        <v>6.2483000000000004</v>
      </c>
      <c r="H331" s="68">
        <f>9.4865* CHOOSE(CONTROL!$C$22, $C$13, 100%, $E$13)</f>
        <v>9.4864999999999995</v>
      </c>
      <c r="I331" s="68">
        <f>9.4913 * CHOOSE(CONTROL!$C$22, $C$13, 100%, $E$13)</f>
        <v>9.4913000000000007</v>
      </c>
      <c r="J331" s="68">
        <f>6.2435 * CHOOSE(CONTROL!$C$22, $C$13, 100%, $E$13)</f>
        <v>6.2435</v>
      </c>
      <c r="K331" s="68">
        <f>6.2483 * CHOOSE(CONTROL!$C$22, $C$13, 100%, $E$13)</f>
        <v>6.2483000000000004</v>
      </c>
    </row>
    <row r="332" spans="1:11" ht="15">
      <c r="A332" s="13">
        <v>51227</v>
      </c>
      <c r="B332" s="67">
        <f>5.1385 * CHOOSE(CONTROL!$C$22, $C$13, 100%, $E$13)</f>
        <v>5.1384999999999996</v>
      </c>
      <c r="C332" s="67">
        <f>5.1385 * CHOOSE(CONTROL!$C$22, $C$13, 100%, $E$13)</f>
        <v>5.1384999999999996</v>
      </c>
      <c r="D332" s="67">
        <f>5.1424 * CHOOSE(CONTROL!$C$22, $C$13, 100%, $E$13)</f>
        <v>5.1424000000000003</v>
      </c>
      <c r="E332" s="68">
        <f>6.3226 * CHOOSE(CONTROL!$C$22, $C$13, 100%, $E$13)</f>
        <v>6.3226000000000004</v>
      </c>
      <c r="F332" s="68">
        <f>6.3226 * CHOOSE(CONTROL!$C$22, $C$13, 100%, $E$13)</f>
        <v>6.3226000000000004</v>
      </c>
      <c r="G332" s="68">
        <f>6.3274 * CHOOSE(CONTROL!$C$22, $C$13, 100%, $E$13)</f>
        <v>6.3273999999999999</v>
      </c>
      <c r="H332" s="68">
        <f>9.5062* CHOOSE(CONTROL!$C$22, $C$13, 100%, $E$13)</f>
        <v>9.5061999999999998</v>
      </c>
      <c r="I332" s="68">
        <f>9.511 * CHOOSE(CONTROL!$C$22, $C$13, 100%, $E$13)</f>
        <v>9.5109999999999992</v>
      </c>
      <c r="J332" s="68">
        <f>6.3226 * CHOOSE(CONTROL!$C$22, $C$13, 100%, $E$13)</f>
        <v>6.3226000000000004</v>
      </c>
      <c r="K332" s="68">
        <f>6.3274 * CHOOSE(CONTROL!$C$22, $C$13, 100%, $E$13)</f>
        <v>6.3273999999999999</v>
      </c>
    </row>
    <row r="333" spans="1:11" ht="15">
      <c r="A333" s="13">
        <v>51257</v>
      </c>
      <c r="B333" s="67">
        <f>5.1385 * CHOOSE(CONTROL!$C$22, $C$13, 100%, $E$13)</f>
        <v>5.1384999999999996</v>
      </c>
      <c r="C333" s="67">
        <f>5.1385 * CHOOSE(CONTROL!$C$22, $C$13, 100%, $E$13)</f>
        <v>5.1384999999999996</v>
      </c>
      <c r="D333" s="67">
        <f>5.144 * CHOOSE(CONTROL!$C$22, $C$13, 100%, $E$13)</f>
        <v>5.1440000000000001</v>
      </c>
      <c r="E333" s="68">
        <f>6.3538 * CHOOSE(CONTROL!$C$22, $C$13, 100%, $E$13)</f>
        <v>6.3537999999999997</v>
      </c>
      <c r="F333" s="68">
        <f>6.3538 * CHOOSE(CONTROL!$C$22, $C$13, 100%, $E$13)</f>
        <v>6.3537999999999997</v>
      </c>
      <c r="G333" s="68">
        <f>6.3606 * CHOOSE(CONTROL!$C$22, $C$13, 100%, $E$13)</f>
        <v>6.3605999999999998</v>
      </c>
      <c r="H333" s="68">
        <f>9.5261* CHOOSE(CONTROL!$C$22, $C$13, 100%, $E$13)</f>
        <v>9.5260999999999996</v>
      </c>
      <c r="I333" s="68">
        <f>9.5328 * CHOOSE(CONTROL!$C$22, $C$13, 100%, $E$13)</f>
        <v>9.5327999999999999</v>
      </c>
      <c r="J333" s="68">
        <f>6.3538 * CHOOSE(CONTROL!$C$22, $C$13, 100%, $E$13)</f>
        <v>6.3537999999999997</v>
      </c>
      <c r="K333" s="68">
        <f>6.3606 * CHOOSE(CONTROL!$C$22, $C$13, 100%, $E$13)</f>
        <v>6.3605999999999998</v>
      </c>
    </row>
    <row r="334" spans="1:11" ht="15">
      <c r="A334" s="13">
        <v>51288</v>
      </c>
      <c r="B334" s="67">
        <f>5.1446 * CHOOSE(CONTROL!$C$22, $C$13, 100%, $E$13)</f>
        <v>5.1445999999999996</v>
      </c>
      <c r="C334" s="67">
        <f>5.1446 * CHOOSE(CONTROL!$C$22, $C$13, 100%, $E$13)</f>
        <v>5.1445999999999996</v>
      </c>
      <c r="D334" s="67">
        <f>5.1501 * CHOOSE(CONTROL!$C$22, $C$13, 100%, $E$13)</f>
        <v>5.1501000000000001</v>
      </c>
      <c r="E334" s="68">
        <f>6.3268 * CHOOSE(CONTROL!$C$22, $C$13, 100%, $E$13)</f>
        <v>6.3268000000000004</v>
      </c>
      <c r="F334" s="68">
        <f>6.3268 * CHOOSE(CONTROL!$C$22, $C$13, 100%, $E$13)</f>
        <v>6.3268000000000004</v>
      </c>
      <c r="G334" s="68">
        <f>6.3336 * CHOOSE(CONTROL!$C$22, $C$13, 100%, $E$13)</f>
        <v>6.3335999999999997</v>
      </c>
      <c r="H334" s="68">
        <f>9.5459* CHOOSE(CONTROL!$C$22, $C$13, 100%, $E$13)</f>
        <v>9.5458999999999996</v>
      </c>
      <c r="I334" s="68">
        <f>9.5526 * CHOOSE(CONTROL!$C$22, $C$13, 100%, $E$13)</f>
        <v>9.5526</v>
      </c>
      <c r="J334" s="68">
        <f>6.3268 * CHOOSE(CONTROL!$C$22, $C$13, 100%, $E$13)</f>
        <v>6.3268000000000004</v>
      </c>
      <c r="K334" s="68">
        <f>6.3336 * CHOOSE(CONTROL!$C$22, $C$13, 100%, $E$13)</f>
        <v>6.3335999999999997</v>
      </c>
    </row>
    <row r="335" spans="1:11" ht="15">
      <c r="A335" s="13">
        <v>51318</v>
      </c>
      <c r="B335" s="67">
        <f>5.2293 * CHOOSE(CONTROL!$C$22, $C$13, 100%, $E$13)</f>
        <v>5.2293000000000003</v>
      </c>
      <c r="C335" s="67">
        <f>5.2293 * CHOOSE(CONTROL!$C$22, $C$13, 100%, $E$13)</f>
        <v>5.2293000000000003</v>
      </c>
      <c r="D335" s="67">
        <f>5.2348 * CHOOSE(CONTROL!$C$22, $C$13, 100%, $E$13)</f>
        <v>5.2347999999999999</v>
      </c>
      <c r="E335" s="68">
        <f>6.4346 * CHOOSE(CONTROL!$C$22, $C$13, 100%, $E$13)</f>
        <v>6.4345999999999997</v>
      </c>
      <c r="F335" s="68">
        <f>6.4346 * CHOOSE(CONTROL!$C$22, $C$13, 100%, $E$13)</f>
        <v>6.4345999999999997</v>
      </c>
      <c r="G335" s="68">
        <f>6.4413 * CHOOSE(CONTROL!$C$22, $C$13, 100%, $E$13)</f>
        <v>6.4413</v>
      </c>
      <c r="H335" s="68">
        <f>9.5658* CHOOSE(CONTROL!$C$22, $C$13, 100%, $E$13)</f>
        <v>9.5657999999999994</v>
      </c>
      <c r="I335" s="68">
        <f>9.5725 * CHOOSE(CONTROL!$C$22, $C$13, 100%, $E$13)</f>
        <v>9.5724999999999998</v>
      </c>
      <c r="J335" s="68">
        <f>6.4346 * CHOOSE(CONTROL!$C$22, $C$13, 100%, $E$13)</f>
        <v>6.4345999999999997</v>
      </c>
      <c r="K335" s="68">
        <f>6.4413 * CHOOSE(CONTROL!$C$22, $C$13, 100%, $E$13)</f>
        <v>6.4413</v>
      </c>
    </row>
    <row r="336" spans="1:11" ht="15">
      <c r="A336" s="13">
        <v>51349</v>
      </c>
      <c r="B336" s="67">
        <f>5.236 * CHOOSE(CONTROL!$C$22, $C$13, 100%, $E$13)</f>
        <v>5.2359999999999998</v>
      </c>
      <c r="C336" s="67">
        <f>5.236 * CHOOSE(CONTROL!$C$22, $C$13, 100%, $E$13)</f>
        <v>5.2359999999999998</v>
      </c>
      <c r="D336" s="67">
        <f>5.2415 * CHOOSE(CONTROL!$C$22, $C$13, 100%, $E$13)</f>
        <v>5.2415000000000003</v>
      </c>
      <c r="E336" s="68">
        <f>6.3455 * CHOOSE(CONTROL!$C$22, $C$13, 100%, $E$13)</f>
        <v>6.3455000000000004</v>
      </c>
      <c r="F336" s="68">
        <f>6.3455 * CHOOSE(CONTROL!$C$22, $C$13, 100%, $E$13)</f>
        <v>6.3455000000000004</v>
      </c>
      <c r="G336" s="68">
        <f>6.3523 * CHOOSE(CONTROL!$C$22, $C$13, 100%, $E$13)</f>
        <v>6.3522999999999996</v>
      </c>
      <c r="H336" s="68">
        <f>9.5857* CHOOSE(CONTROL!$C$22, $C$13, 100%, $E$13)</f>
        <v>9.5856999999999992</v>
      </c>
      <c r="I336" s="68">
        <f>9.5925 * CHOOSE(CONTROL!$C$22, $C$13, 100%, $E$13)</f>
        <v>9.5924999999999994</v>
      </c>
      <c r="J336" s="68">
        <f>6.3455 * CHOOSE(CONTROL!$C$22, $C$13, 100%, $E$13)</f>
        <v>6.3455000000000004</v>
      </c>
      <c r="K336" s="68">
        <f>6.3523 * CHOOSE(CONTROL!$C$22, $C$13, 100%, $E$13)</f>
        <v>6.3522999999999996</v>
      </c>
    </row>
    <row r="337" spans="1:11" ht="15">
      <c r="A337" s="13">
        <v>51380</v>
      </c>
      <c r="B337" s="67">
        <f>5.233 * CHOOSE(CONTROL!$C$22, $C$13, 100%, $E$13)</f>
        <v>5.2329999999999997</v>
      </c>
      <c r="C337" s="67">
        <f>5.233 * CHOOSE(CONTROL!$C$22, $C$13, 100%, $E$13)</f>
        <v>5.2329999999999997</v>
      </c>
      <c r="D337" s="67">
        <f>5.2385 * CHOOSE(CONTROL!$C$22, $C$13, 100%, $E$13)</f>
        <v>5.2385000000000002</v>
      </c>
      <c r="E337" s="68">
        <f>6.333 * CHOOSE(CONTROL!$C$22, $C$13, 100%, $E$13)</f>
        <v>6.3330000000000002</v>
      </c>
      <c r="F337" s="68">
        <f>6.333 * CHOOSE(CONTROL!$C$22, $C$13, 100%, $E$13)</f>
        <v>6.3330000000000002</v>
      </c>
      <c r="G337" s="68">
        <f>6.3397 * CHOOSE(CONTROL!$C$22, $C$13, 100%, $E$13)</f>
        <v>6.3396999999999997</v>
      </c>
      <c r="H337" s="68">
        <f>9.6057* CHOOSE(CONTROL!$C$22, $C$13, 100%, $E$13)</f>
        <v>9.6057000000000006</v>
      </c>
      <c r="I337" s="68">
        <f>9.6124 * CHOOSE(CONTROL!$C$22, $C$13, 100%, $E$13)</f>
        <v>9.6123999999999992</v>
      </c>
      <c r="J337" s="68">
        <f>6.333 * CHOOSE(CONTROL!$C$22, $C$13, 100%, $E$13)</f>
        <v>6.3330000000000002</v>
      </c>
      <c r="K337" s="68">
        <f>6.3397 * CHOOSE(CONTROL!$C$22, $C$13, 100%, $E$13)</f>
        <v>6.3396999999999997</v>
      </c>
    </row>
    <row r="338" spans="1:11" ht="15">
      <c r="A338" s="13">
        <v>51410</v>
      </c>
      <c r="B338" s="67">
        <f>5.2321 * CHOOSE(CONTROL!$C$22, $C$13, 100%, $E$13)</f>
        <v>5.2321</v>
      </c>
      <c r="C338" s="67">
        <f>5.2321 * CHOOSE(CONTROL!$C$22, $C$13, 100%, $E$13)</f>
        <v>5.2321</v>
      </c>
      <c r="D338" s="67">
        <f>5.236 * CHOOSE(CONTROL!$C$22, $C$13, 100%, $E$13)</f>
        <v>5.2359999999999998</v>
      </c>
      <c r="E338" s="68">
        <f>6.3612 * CHOOSE(CONTROL!$C$22, $C$13, 100%, $E$13)</f>
        <v>6.3612000000000002</v>
      </c>
      <c r="F338" s="68">
        <f>6.3612 * CHOOSE(CONTROL!$C$22, $C$13, 100%, $E$13)</f>
        <v>6.3612000000000002</v>
      </c>
      <c r="G338" s="68">
        <f>6.366 * CHOOSE(CONTROL!$C$22, $C$13, 100%, $E$13)</f>
        <v>6.3659999999999997</v>
      </c>
      <c r="H338" s="68">
        <f>9.6257* CHOOSE(CONTROL!$C$22, $C$13, 100%, $E$13)</f>
        <v>9.6257000000000001</v>
      </c>
      <c r="I338" s="68">
        <f>9.6305 * CHOOSE(CONTROL!$C$22, $C$13, 100%, $E$13)</f>
        <v>9.6304999999999996</v>
      </c>
      <c r="J338" s="68">
        <f>6.3612 * CHOOSE(CONTROL!$C$22, $C$13, 100%, $E$13)</f>
        <v>6.3612000000000002</v>
      </c>
      <c r="K338" s="68">
        <f>6.366 * CHOOSE(CONTROL!$C$22, $C$13, 100%, $E$13)</f>
        <v>6.3659999999999997</v>
      </c>
    </row>
    <row r="339" spans="1:11" ht="15">
      <c r="A339" s="13">
        <v>51441</v>
      </c>
      <c r="B339" s="67">
        <f>5.2352 * CHOOSE(CONTROL!$C$22, $C$13, 100%, $E$13)</f>
        <v>5.2351999999999999</v>
      </c>
      <c r="C339" s="67">
        <f>5.2352 * CHOOSE(CONTROL!$C$22, $C$13, 100%, $E$13)</f>
        <v>5.2351999999999999</v>
      </c>
      <c r="D339" s="67">
        <f>5.239 * CHOOSE(CONTROL!$C$22, $C$13, 100%, $E$13)</f>
        <v>5.2389999999999999</v>
      </c>
      <c r="E339" s="68">
        <f>6.3842 * CHOOSE(CONTROL!$C$22, $C$13, 100%, $E$13)</f>
        <v>6.3841999999999999</v>
      </c>
      <c r="F339" s="68">
        <f>6.3842 * CHOOSE(CONTROL!$C$22, $C$13, 100%, $E$13)</f>
        <v>6.3841999999999999</v>
      </c>
      <c r="G339" s="68">
        <f>6.3889 * CHOOSE(CONTROL!$C$22, $C$13, 100%, $E$13)</f>
        <v>6.3888999999999996</v>
      </c>
      <c r="H339" s="68">
        <f>9.6458* CHOOSE(CONTROL!$C$22, $C$13, 100%, $E$13)</f>
        <v>9.6457999999999995</v>
      </c>
      <c r="I339" s="68">
        <f>9.6505 * CHOOSE(CONTROL!$C$22, $C$13, 100%, $E$13)</f>
        <v>9.6504999999999992</v>
      </c>
      <c r="J339" s="68">
        <f>6.3842 * CHOOSE(CONTROL!$C$22, $C$13, 100%, $E$13)</f>
        <v>6.3841999999999999</v>
      </c>
      <c r="K339" s="68">
        <f>6.3889 * CHOOSE(CONTROL!$C$22, $C$13, 100%, $E$13)</f>
        <v>6.3888999999999996</v>
      </c>
    </row>
    <row r="340" spans="1:11" ht="15">
      <c r="A340" s="13">
        <v>51471</v>
      </c>
      <c r="B340" s="67">
        <f>5.2352 * CHOOSE(CONTROL!$C$22, $C$13, 100%, $E$13)</f>
        <v>5.2351999999999999</v>
      </c>
      <c r="C340" s="67">
        <f>5.2352 * CHOOSE(CONTROL!$C$22, $C$13, 100%, $E$13)</f>
        <v>5.2351999999999999</v>
      </c>
      <c r="D340" s="67">
        <f>5.239 * CHOOSE(CONTROL!$C$22, $C$13, 100%, $E$13)</f>
        <v>5.2389999999999999</v>
      </c>
      <c r="E340" s="68">
        <f>6.3321 * CHOOSE(CONTROL!$C$22, $C$13, 100%, $E$13)</f>
        <v>6.3320999999999996</v>
      </c>
      <c r="F340" s="68">
        <f>6.3321 * CHOOSE(CONTROL!$C$22, $C$13, 100%, $E$13)</f>
        <v>6.3320999999999996</v>
      </c>
      <c r="G340" s="68">
        <f>6.3369 * CHOOSE(CONTROL!$C$22, $C$13, 100%, $E$13)</f>
        <v>6.3369</v>
      </c>
      <c r="H340" s="68">
        <f>9.6658* CHOOSE(CONTROL!$C$22, $C$13, 100%, $E$13)</f>
        <v>9.6658000000000008</v>
      </c>
      <c r="I340" s="68">
        <f>9.6706 * CHOOSE(CONTROL!$C$22, $C$13, 100%, $E$13)</f>
        <v>9.6706000000000003</v>
      </c>
      <c r="J340" s="68">
        <f>6.3321 * CHOOSE(CONTROL!$C$22, $C$13, 100%, $E$13)</f>
        <v>6.3320999999999996</v>
      </c>
      <c r="K340" s="68">
        <f>6.3369 * CHOOSE(CONTROL!$C$22, $C$13, 100%, $E$13)</f>
        <v>6.3369</v>
      </c>
    </row>
    <row r="341" spans="1:11" ht="15">
      <c r="A341" s="13">
        <v>51502</v>
      </c>
      <c r="B341" s="67">
        <f>5.2816 * CHOOSE(CONTROL!$C$22, $C$13, 100%, $E$13)</f>
        <v>5.2816000000000001</v>
      </c>
      <c r="C341" s="67">
        <f>5.2816 * CHOOSE(CONTROL!$C$22, $C$13, 100%, $E$13)</f>
        <v>5.2816000000000001</v>
      </c>
      <c r="D341" s="67">
        <f>5.2855 * CHOOSE(CONTROL!$C$22, $C$13, 100%, $E$13)</f>
        <v>5.2854999999999999</v>
      </c>
      <c r="E341" s="68">
        <f>6.4218 * CHOOSE(CONTROL!$C$22, $C$13, 100%, $E$13)</f>
        <v>6.4218000000000002</v>
      </c>
      <c r="F341" s="68">
        <f>6.4218 * CHOOSE(CONTROL!$C$22, $C$13, 100%, $E$13)</f>
        <v>6.4218000000000002</v>
      </c>
      <c r="G341" s="68">
        <f>6.4266 * CHOOSE(CONTROL!$C$22, $C$13, 100%, $E$13)</f>
        <v>6.4265999999999996</v>
      </c>
      <c r="H341" s="68">
        <f>9.686* CHOOSE(CONTROL!$C$22, $C$13, 100%, $E$13)</f>
        <v>9.6859999999999999</v>
      </c>
      <c r="I341" s="68">
        <f>9.6908 * CHOOSE(CONTROL!$C$22, $C$13, 100%, $E$13)</f>
        <v>9.6907999999999994</v>
      </c>
      <c r="J341" s="68">
        <f>6.4218 * CHOOSE(CONTROL!$C$22, $C$13, 100%, $E$13)</f>
        <v>6.4218000000000002</v>
      </c>
      <c r="K341" s="68">
        <f>6.4266 * CHOOSE(CONTROL!$C$22, $C$13, 100%, $E$13)</f>
        <v>6.4265999999999996</v>
      </c>
    </row>
    <row r="342" spans="1:11" ht="15">
      <c r="A342" s="13">
        <v>51533</v>
      </c>
      <c r="B342" s="67">
        <f>5.2786 * CHOOSE(CONTROL!$C$22, $C$13, 100%, $E$13)</f>
        <v>5.2786</v>
      </c>
      <c r="C342" s="67">
        <f>5.2786 * CHOOSE(CONTROL!$C$22, $C$13, 100%, $E$13)</f>
        <v>5.2786</v>
      </c>
      <c r="D342" s="67">
        <f>5.2824 * CHOOSE(CONTROL!$C$22, $C$13, 100%, $E$13)</f>
        <v>5.2824</v>
      </c>
      <c r="E342" s="68">
        <f>6.3185 * CHOOSE(CONTROL!$C$22, $C$13, 100%, $E$13)</f>
        <v>6.3185000000000002</v>
      </c>
      <c r="F342" s="68">
        <f>6.3185 * CHOOSE(CONTROL!$C$22, $C$13, 100%, $E$13)</f>
        <v>6.3185000000000002</v>
      </c>
      <c r="G342" s="68">
        <f>6.3233 * CHOOSE(CONTROL!$C$22, $C$13, 100%, $E$13)</f>
        <v>6.3232999999999997</v>
      </c>
      <c r="H342" s="68">
        <f>9.7062* CHOOSE(CONTROL!$C$22, $C$13, 100%, $E$13)</f>
        <v>9.7062000000000008</v>
      </c>
      <c r="I342" s="68">
        <f>9.7109 * CHOOSE(CONTROL!$C$22, $C$13, 100%, $E$13)</f>
        <v>9.7109000000000005</v>
      </c>
      <c r="J342" s="68">
        <f>6.3185 * CHOOSE(CONTROL!$C$22, $C$13, 100%, $E$13)</f>
        <v>6.3185000000000002</v>
      </c>
      <c r="K342" s="68">
        <f>6.3233 * CHOOSE(CONTROL!$C$22, $C$13, 100%, $E$13)</f>
        <v>6.3232999999999997</v>
      </c>
    </row>
    <row r="343" spans="1:11" ht="15">
      <c r="A343" s="13">
        <v>51561</v>
      </c>
      <c r="B343" s="67">
        <f>5.2755 * CHOOSE(CONTROL!$C$22, $C$13, 100%, $E$13)</f>
        <v>5.2755000000000001</v>
      </c>
      <c r="C343" s="67">
        <f>5.2755 * CHOOSE(CONTROL!$C$22, $C$13, 100%, $E$13)</f>
        <v>5.2755000000000001</v>
      </c>
      <c r="D343" s="67">
        <f>5.2794 * CHOOSE(CONTROL!$C$22, $C$13, 100%, $E$13)</f>
        <v>5.2793999999999999</v>
      </c>
      <c r="E343" s="68">
        <f>6.3961 * CHOOSE(CONTROL!$C$22, $C$13, 100%, $E$13)</f>
        <v>6.3960999999999997</v>
      </c>
      <c r="F343" s="68">
        <f>6.3961 * CHOOSE(CONTROL!$C$22, $C$13, 100%, $E$13)</f>
        <v>6.3960999999999997</v>
      </c>
      <c r="G343" s="68">
        <f>6.4009 * CHOOSE(CONTROL!$C$22, $C$13, 100%, $E$13)</f>
        <v>6.4009</v>
      </c>
      <c r="H343" s="68">
        <f>9.7264* CHOOSE(CONTROL!$C$22, $C$13, 100%, $E$13)</f>
        <v>9.7263999999999999</v>
      </c>
      <c r="I343" s="68">
        <f>9.7312 * CHOOSE(CONTROL!$C$22, $C$13, 100%, $E$13)</f>
        <v>9.7311999999999994</v>
      </c>
      <c r="J343" s="68">
        <f>6.3961 * CHOOSE(CONTROL!$C$22, $C$13, 100%, $E$13)</f>
        <v>6.3960999999999997</v>
      </c>
      <c r="K343" s="68">
        <f>6.4009 * CHOOSE(CONTROL!$C$22, $C$13, 100%, $E$13)</f>
        <v>6.4009</v>
      </c>
    </row>
    <row r="344" spans="1:11" ht="15">
      <c r="A344" s="13">
        <v>51592</v>
      </c>
      <c r="B344" s="67">
        <f>5.2743 * CHOOSE(CONTROL!$C$22, $C$13, 100%, $E$13)</f>
        <v>5.2743000000000002</v>
      </c>
      <c r="C344" s="67">
        <f>5.2743 * CHOOSE(CONTROL!$C$22, $C$13, 100%, $E$13)</f>
        <v>5.2743000000000002</v>
      </c>
      <c r="D344" s="67">
        <f>5.2782 * CHOOSE(CONTROL!$C$22, $C$13, 100%, $E$13)</f>
        <v>5.2782</v>
      </c>
      <c r="E344" s="68">
        <f>6.4775 * CHOOSE(CONTROL!$C$22, $C$13, 100%, $E$13)</f>
        <v>6.4775</v>
      </c>
      <c r="F344" s="68">
        <f>6.4775 * CHOOSE(CONTROL!$C$22, $C$13, 100%, $E$13)</f>
        <v>6.4775</v>
      </c>
      <c r="G344" s="68">
        <f>6.4823 * CHOOSE(CONTROL!$C$22, $C$13, 100%, $E$13)</f>
        <v>6.4823000000000004</v>
      </c>
      <c r="H344" s="68">
        <f>9.7466* CHOOSE(CONTROL!$C$22, $C$13, 100%, $E$13)</f>
        <v>9.7466000000000008</v>
      </c>
      <c r="I344" s="68">
        <f>9.7514 * CHOOSE(CONTROL!$C$22, $C$13, 100%, $E$13)</f>
        <v>9.7514000000000003</v>
      </c>
      <c r="J344" s="68">
        <f>6.4775 * CHOOSE(CONTROL!$C$22, $C$13, 100%, $E$13)</f>
        <v>6.4775</v>
      </c>
      <c r="K344" s="68">
        <f>6.4823 * CHOOSE(CONTROL!$C$22, $C$13, 100%, $E$13)</f>
        <v>6.4823000000000004</v>
      </c>
    </row>
    <row r="345" spans="1:11" ht="15">
      <c r="A345" s="13">
        <v>51622</v>
      </c>
      <c r="B345" s="67">
        <f>5.2743 * CHOOSE(CONTROL!$C$22, $C$13, 100%, $E$13)</f>
        <v>5.2743000000000002</v>
      </c>
      <c r="C345" s="67">
        <f>5.2743 * CHOOSE(CONTROL!$C$22, $C$13, 100%, $E$13)</f>
        <v>5.2743000000000002</v>
      </c>
      <c r="D345" s="67">
        <f>5.2798 * CHOOSE(CONTROL!$C$22, $C$13, 100%, $E$13)</f>
        <v>5.2797999999999998</v>
      </c>
      <c r="E345" s="68">
        <f>6.5097 * CHOOSE(CONTROL!$C$22, $C$13, 100%, $E$13)</f>
        <v>6.5096999999999996</v>
      </c>
      <c r="F345" s="68">
        <f>6.5097 * CHOOSE(CONTROL!$C$22, $C$13, 100%, $E$13)</f>
        <v>6.5096999999999996</v>
      </c>
      <c r="G345" s="68">
        <f>6.5164 * CHOOSE(CONTROL!$C$22, $C$13, 100%, $E$13)</f>
        <v>6.5164</v>
      </c>
      <c r="H345" s="68">
        <f>9.767* CHOOSE(CONTROL!$C$22, $C$13, 100%, $E$13)</f>
        <v>9.7669999999999995</v>
      </c>
      <c r="I345" s="68">
        <f>9.7737 * CHOOSE(CONTROL!$C$22, $C$13, 100%, $E$13)</f>
        <v>9.7736999999999998</v>
      </c>
      <c r="J345" s="68">
        <f>6.5097 * CHOOSE(CONTROL!$C$22, $C$13, 100%, $E$13)</f>
        <v>6.5096999999999996</v>
      </c>
      <c r="K345" s="68">
        <f>6.5164 * CHOOSE(CONTROL!$C$22, $C$13, 100%, $E$13)</f>
        <v>6.5164</v>
      </c>
    </row>
    <row r="346" spans="1:11" ht="15">
      <c r="A346" s="13">
        <v>51653</v>
      </c>
      <c r="B346" s="67">
        <f>5.2804 * CHOOSE(CONTROL!$C$22, $C$13, 100%, $E$13)</f>
        <v>5.2804000000000002</v>
      </c>
      <c r="C346" s="67">
        <f>5.2804 * CHOOSE(CONTROL!$C$22, $C$13, 100%, $E$13)</f>
        <v>5.2804000000000002</v>
      </c>
      <c r="D346" s="67">
        <f>5.2859 * CHOOSE(CONTROL!$C$22, $C$13, 100%, $E$13)</f>
        <v>5.2858999999999998</v>
      </c>
      <c r="E346" s="68">
        <f>6.4818 * CHOOSE(CONTROL!$C$22, $C$13, 100%, $E$13)</f>
        <v>6.4817999999999998</v>
      </c>
      <c r="F346" s="68">
        <f>6.4818 * CHOOSE(CONTROL!$C$22, $C$13, 100%, $E$13)</f>
        <v>6.4817999999999998</v>
      </c>
      <c r="G346" s="68">
        <f>6.4885 * CHOOSE(CONTROL!$C$22, $C$13, 100%, $E$13)</f>
        <v>6.4885000000000002</v>
      </c>
      <c r="H346" s="68">
        <f>9.7873* CHOOSE(CONTROL!$C$22, $C$13, 100%, $E$13)</f>
        <v>9.7873000000000001</v>
      </c>
      <c r="I346" s="68">
        <f>9.794 * CHOOSE(CONTROL!$C$22, $C$13, 100%, $E$13)</f>
        <v>9.7940000000000005</v>
      </c>
      <c r="J346" s="68">
        <f>6.4818 * CHOOSE(CONTROL!$C$22, $C$13, 100%, $E$13)</f>
        <v>6.4817999999999998</v>
      </c>
      <c r="K346" s="68">
        <f>6.4885 * CHOOSE(CONTROL!$C$22, $C$13, 100%, $E$13)</f>
        <v>6.4885000000000002</v>
      </c>
    </row>
    <row r="347" spans="1:11" ht="15">
      <c r="A347" s="13">
        <v>51683</v>
      </c>
      <c r="B347" s="67">
        <f>5.3669 * CHOOSE(CONTROL!$C$22, $C$13, 100%, $E$13)</f>
        <v>5.3669000000000002</v>
      </c>
      <c r="C347" s="67">
        <f>5.3669 * CHOOSE(CONTROL!$C$22, $C$13, 100%, $E$13)</f>
        <v>5.3669000000000002</v>
      </c>
      <c r="D347" s="67">
        <f>5.3724 * CHOOSE(CONTROL!$C$22, $C$13, 100%, $E$13)</f>
        <v>5.3723999999999998</v>
      </c>
      <c r="E347" s="68">
        <f>6.5916 * CHOOSE(CONTROL!$C$22, $C$13, 100%, $E$13)</f>
        <v>6.5915999999999997</v>
      </c>
      <c r="F347" s="68">
        <f>6.5916 * CHOOSE(CONTROL!$C$22, $C$13, 100%, $E$13)</f>
        <v>6.5915999999999997</v>
      </c>
      <c r="G347" s="68">
        <f>6.5984 * CHOOSE(CONTROL!$C$22, $C$13, 100%, $E$13)</f>
        <v>6.5983999999999998</v>
      </c>
      <c r="H347" s="68">
        <f>9.8077* CHOOSE(CONTROL!$C$22, $C$13, 100%, $E$13)</f>
        <v>9.8077000000000005</v>
      </c>
      <c r="I347" s="68">
        <f>9.8144 * CHOOSE(CONTROL!$C$22, $C$13, 100%, $E$13)</f>
        <v>9.8143999999999991</v>
      </c>
      <c r="J347" s="68">
        <f>6.5916 * CHOOSE(CONTROL!$C$22, $C$13, 100%, $E$13)</f>
        <v>6.5915999999999997</v>
      </c>
      <c r="K347" s="68">
        <f>6.5984 * CHOOSE(CONTROL!$C$22, $C$13, 100%, $E$13)</f>
        <v>6.5983999999999998</v>
      </c>
    </row>
    <row r="348" spans="1:11" ht="15">
      <c r="A348" s="13">
        <v>51714</v>
      </c>
      <c r="B348" s="67">
        <f>5.3736 * CHOOSE(CONTROL!$C$22, $C$13, 100%, $E$13)</f>
        <v>5.3735999999999997</v>
      </c>
      <c r="C348" s="67">
        <f>5.3736 * CHOOSE(CONTROL!$C$22, $C$13, 100%, $E$13)</f>
        <v>5.3735999999999997</v>
      </c>
      <c r="D348" s="67">
        <f>5.3791 * CHOOSE(CONTROL!$C$22, $C$13, 100%, $E$13)</f>
        <v>5.3791000000000002</v>
      </c>
      <c r="E348" s="68">
        <f>6.4999 * CHOOSE(CONTROL!$C$22, $C$13, 100%, $E$13)</f>
        <v>6.4999000000000002</v>
      </c>
      <c r="F348" s="68">
        <f>6.4999 * CHOOSE(CONTROL!$C$22, $C$13, 100%, $E$13)</f>
        <v>6.4999000000000002</v>
      </c>
      <c r="G348" s="68">
        <f>6.5067 * CHOOSE(CONTROL!$C$22, $C$13, 100%, $E$13)</f>
        <v>6.5067000000000004</v>
      </c>
      <c r="H348" s="68">
        <f>9.8281* CHOOSE(CONTROL!$C$22, $C$13, 100%, $E$13)</f>
        <v>9.8280999999999992</v>
      </c>
      <c r="I348" s="68">
        <f>9.8349 * CHOOSE(CONTROL!$C$22, $C$13, 100%, $E$13)</f>
        <v>9.8348999999999993</v>
      </c>
      <c r="J348" s="68">
        <f>6.4999 * CHOOSE(CONTROL!$C$22, $C$13, 100%, $E$13)</f>
        <v>6.4999000000000002</v>
      </c>
      <c r="K348" s="68">
        <f>6.5067 * CHOOSE(CONTROL!$C$22, $C$13, 100%, $E$13)</f>
        <v>6.5067000000000004</v>
      </c>
    </row>
    <row r="349" spans="1:11" ht="15">
      <c r="A349" s="13">
        <v>51745</v>
      </c>
      <c r="B349" s="67">
        <f>5.3705 * CHOOSE(CONTROL!$C$22, $C$13, 100%, $E$13)</f>
        <v>5.3704999999999998</v>
      </c>
      <c r="C349" s="67">
        <f>5.3705 * CHOOSE(CONTROL!$C$22, $C$13, 100%, $E$13)</f>
        <v>5.3704999999999998</v>
      </c>
      <c r="D349" s="67">
        <f>5.376 * CHOOSE(CONTROL!$C$22, $C$13, 100%, $E$13)</f>
        <v>5.3760000000000003</v>
      </c>
      <c r="E349" s="68">
        <f>6.4871 * CHOOSE(CONTROL!$C$22, $C$13, 100%, $E$13)</f>
        <v>6.4870999999999999</v>
      </c>
      <c r="F349" s="68">
        <f>6.4871 * CHOOSE(CONTROL!$C$22, $C$13, 100%, $E$13)</f>
        <v>6.4870999999999999</v>
      </c>
      <c r="G349" s="68">
        <f>6.4938 * CHOOSE(CONTROL!$C$22, $C$13, 100%, $E$13)</f>
        <v>6.4938000000000002</v>
      </c>
      <c r="H349" s="68">
        <f>9.8486* CHOOSE(CONTROL!$C$22, $C$13, 100%, $E$13)</f>
        <v>9.8485999999999994</v>
      </c>
      <c r="I349" s="68">
        <f>9.8553 * CHOOSE(CONTROL!$C$22, $C$13, 100%, $E$13)</f>
        <v>9.8552999999999997</v>
      </c>
      <c r="J349" s="68">
        <f>6.4871 * CHOOSE(CONTROL!$C$22, $C$13, 100%, $E$13)</f>
        <v>6.4870999999999999</v>
      </c>
      <c r="K349" s="68">
        <f>6.4938 * CHOOSE(CONTROL!$C$22, $C$13, 100%, $E$13)</f>
        <v>6.4938000000000002</v>
      </c>
    </row>
    <row r="350" spans="1:11" ht="15">
      <c r="A350" s="13">
        <v>51775</v>
      </c>
      <c r="B350" s="67">
        <f>5.3701 * CHOOSE(CONTROL!$C$22, $C$13, 100%, $E$13)</f>
        <v>5.3700999999999999</v>
      </c>
      <c r="C350" s="67">
        <f>5.3701 * CHOOSE(CONTROL!$C$22, $C$13, 100%, $E$13)</f>
        <v>5.3700999999999999</v>
      </c>
      <c r="D350" s="67">
        <f>5.374 * CHOOSE(CONTROL!$C$22, $C$13, 100%, $E$13)</f>
        <v>5.3739999999999997</v>
      </c>
      <c r="E350" s="68">
        <f>6.5165 * CHOOSE(CONTROL!$C$22, $C$13, 100%, $E$13)</f>
        <v>6.5164999999999997</v>
      </c>
      <c r="F350" s="68">
        <f>6.5165 * CHOOSE(CONTROL!$C$22, $C$13, 100%, $E$13)</f>
        <v>6.5164999999999997</v>
      </c>
      <c r="G350" s="68">
        <f>6.5213 * CHOOSE(CONTROL!$C$22, $C$13, 100%, $E$13)</f>
        <v>6.5213000000000001</v>
      </c>
      <c r="H350" s="68">
        <f>9.8691* CHOOSE(CONTROL!$C$22, $C$13, 100%, $E$13)</f>
        <v>9.8690999999999995</v>
      </c>
      <c r="I350" s="68">
        <f>9.8739 * CHOOSE(CONTROL!$C$22, $C$13, 100%, $E$13)</f>
        <v>9.8739000000000008</v>
      </c>
      <c r="J350" s="68">
        <f>6.5165 * CHOOSE(CONTROL!$C$22, $C$13, 100%, $E$13)</f>
        <v>6.5164999999999997</v>
      </c>
      <c r="K350" s="68">
        <f>6.5213 * CHOOSE(CONTROL!$C$22, $C$13, 100%, $E$13)</f>
        <v>6.5213000000000001</v>
      </c>
    </row>
    <row r="351" spans="1:11" ht="15">
      <c r="A351" s="13">
        <v>51806</v>
      </c>
      <c r="B351" s="67">
        <f>5.3732 * CHOOSE(CONTROL!$C$22, $C$13, 100%, $E$13)</f>
        <v>5.3731999999999998</v>
      </c>
      <c r="C351" s="67">
        <f>5.3732 * CHOOSE(CONTROL!$C$22, $C$13, 100%, $E$13)</f>
        <v>5.3731999999999998</v>
      </c>
      <c r="D351" s="67">
        <f>5.377 * CHOOSE(CONTROL!$C$22, $C$13, 100%, $E$13)</f>
        <v>5.3769999999999998</v>
      </c>
      <c r="E351" s="68">
        <f>6.54 * CHOOSE(CONTROL!$C$22, $C$13, 100%, $E$13)</f>
        <v>6.54</v>
      </c>
      <c r="F351" s="68">
        <f>6.54 * CHOOSE(CONTROL!$C$22, $C$13, 100%, $E$13)</f>
        <v>6.54</v>
      </c>
      <c r="G351" s="68">
        <f>6.5448 * CHOOSE(CONTROL!$C$22, $C$13, 100%, $E$13)</f>
        <v>6.5448000000000004</v>
      </c>
      <c r="H351" s="68">
        <f>9.8897* CHOOSE(CONTROL!$C$22, $C$13, 100%, $E$13)</f>
        <v>9.8896999999999995</v>
      </c>
      <c r="I351" s="68">
        <f>9.8944 * CHOOSE(CONTROL!$C$22, $C$13, 100%, $E$13)</f>
        <v>9.8943999999999992</v>
      </c>
      <c r="J351" s="68">
        <f>6.54 * CHOOSE(CONTROL!$C$22, $C$13, 100%, $E$13)</f>
        <v>6.54</v>
      </c>
      <c r="K351" s="68">
        <f>6.5448 * CHOOSE(CONTROL!$C$22, $C$13, 100%, $E$13)</f>
        <v>6.5448000000000004</v>
      </c>
    </row>
    <row r="352" spans="1:11" ht="15">
      <c r="A352" s="13">
        <v>51836</v>
      </c>
      <c r="B352" s="67">
        <f>5.3732 * CHOOSE(CONTROL!$C$22, $C$13, 100%, $E$13)</f>
        <v>5.3731999999999998</v>
      </c>
      <c r="C352" s="67">
        <f>5.3732 * CHOOSE(CONTROL!$C$22, $C$13, 100%, $E$13)</f>
        <v>5.3731999999999998</v>
      </c>
      <c r="D352" s="67">
        <f>5.377 * CHOOSE(CONTROL!$C$22, $C$13, 100%, $E$13)</f>
        <v>5.3769999999999998</v>
      </c>
      <c r="E352" s="68">
        <f>6.4865 * CHOOSE(CONTROL!$C$22, $C$13, 100%, $E$13)</f>
        <v>6.4865000000000004</v>
      </c>
      <c r="F352" s="68">
        <f>6.4865 * CHOOSE(CONTROL!$C$22, $C$13, 100%, $E$13)</f>
        <v>6.4865000000000004</v>
      </c>
      <c r="G352" s="68">
        <f>6.4913 * CHOOSE(CONTROL!$C$22, $C$13, 100%, $E$13)</f>
        <v>6.4912999999999998</v>
      </c>
      <c r="H352" s="68">
        <f>9.9103* CHOOSE(CONTROL!$C$22, $C$13, 100%, $E$13)</f>
        <v>9.9102999999999994</v>
      </c>
      <c r="I352" s="68">
        <f>9.9151 * CHOOSE(CONTROL!$C$22, $C$13, 100%, $E$13)</f>
        <v>9.9151000000000007</v>
      </c>
      <c r="J352" s="68">
        <f>6.4865 * CHOOSE(CONTROL!$C$22, $C$13, 100%, $E$13)</f>
        <v>6.4865000000000004</v>
      </c>
      <c r="K352" s="68">
        <f>6.4913 * CHOOSE(CONTROL!$C$22, $C$13, 100%, $E$13)</f>
        <v>6.4912999999999998</v>
      </c>
    </row>
    <row r="353" spans="1:11" ht="15">
      <c r="A353" s="13">
        <v>51867</v>
      </c>
      <c r="B353" s="67">
        <f>5.4207 * CHOOSE(CONTROL!$C$22, $C$13, 100%, $E$13)</f>
        <v>5.4207000000000001</v>
      </c>
      <c r="C353" s="67">
        <f>5.4207 * CHOOSE(CONTROL!$C$22, $C$13, 100%, $E$13)</f>
        <v>5.4207000000000001</v>
      </c>
      <c r="D353" s="67">
        <f>5.4246 * CHOOSE(CONTROL!$C$22, $C$13, 100%, $E$13)</f>
        <v>5.4245999999999999</v>
      </c>
      <c r="E353" s="68">
        <f>6.5785 * CHOOSE(CONTROL!$C$22, $C$13, 100%, $E$13)</f>
        <v>6.5785</v>
      </c>
      <c r="F353" s="68">
        <f>6.5785 * CHOOSE(CONTROL!$C$22, $C$13, 100%, $E$13)</f>
        <v>6.5785</v>
      </c>
      <c r="G353" s="68">
        <f>6.5833 * CHOOSE(CONTROL!$C$22, $C$13, 100%, $E$13)</f>
        <v>6.5833000000000004</v>
      </c>
      <c r="H353" s="68">
        <f>9.9309* CHOOSE(CONTROL!$C$22, $C$13, 100%, $E$13)</f>
        <v>9.9308999999999994</v>
      </c>
      <c r="I353" s="68">
        <f>9.9357 * CHOOSE(CONTROL!$C$22, $C$13, 100%, $E$13)</f>
        <v>9.9357000000000006</v>
      </c>
      <c r="J353" s="68">
        <f>6.5785 * CHOOSE(CONTROL!$C$22, $C$13, 100%, $E$13)</f>
        <v>6.5785</v>
      </c>
      <c r="K353" s="68">
        <f>6.5833 * CHOOSE(CONTROL!$C$22, $C$13, 100%, $E$13)</f>
        <v>6.5833000000000004</v>
      </c>
    </row>
    <row r="354" spans="1:11" ht="15">
      <c r="A354" s="13">
        <v>51898</v>
      </c>
      <c r="B354" s="67">
        <f>5.4177 * CHOOSE(CONTROL!$C$22, $C$13, 100%, $E$13)</f>
        <v>5.4177</v>
      </c>
      <c r="C354" s="67">
        <f>5.4177 * CHOOSE(CONTROL!$C$22, $C$13, 100%, $E$13)</f>
        <v>5.4177</v>
      </c>
      <c r="D354" s="67">
        <f>5.4216 * CHOOSE(CONTROL!$C$22, $C$13, 100%, $E$13)</f>
        <v>5.4215999999999998</v>
      </c>
      <c r="E354" s="68">
        <f>6.4724 * CHOOSE(CONTROL!$C$22, $C$13, 100%, $E$13)</f>
        <v>6.4724000000000004</v>
      </c>
      <c r="F354" s="68">
        <f>6.4724 * CHOOSE(CONTROL!$C$22, $C$13, 100%, $E$13)</f>
        <v>6.4724000000000004</v>
      </c>
      <c r="G354" s="68">
        <f>6.4772 * CHOOSE(CONTROL!$C$22, $C$13, 100%, $E$13)</f>
        <v>6.4771999999999998</v>
      </c>
      <c r="H354" s="68">
        <f>9.9516* CHOOSE(CONTROL!$C$22, $C$13, 100%, $E$13)</f>
        <v>9.9515999999999991</v>
      </c>
      <c r="I354" s="68">
        <f>9.9564 * CHOOSE(CONTROL!$C$22, $C$13, 100%, $E$13)</f>
        <v>9.9564000000000004</v>
      </c>
      <c r="J354" s="68">
        <f>6.4724 * CHOOSE(CONTROL!$C$22, $C$13, 100%, $E$13)</f>
        <v>6.4724000000000004</v>
      </c>
      <c r="K354" s="68">
        <f>6.4772 * CHOOSE(CONTROL!$C$22, $C$13, 100%, $E$13)</f>
        <v>6.4771999999999998</v>
      </c>
    </row>
    <row r="355" spans="1:11" ht="15">
      <c r="A355" s="13">
        <v>51926</v>
      </c>
      <c r="B355" s="67">
        <f>5.4147 * CHOOSE(CONTROL!$C$22, $C$13, 100%, $E$13)</f>
        <v>5.4146999999999998</v>
      </c>
      <c r="C355" s="67">
        <f>5.4147 * CHOOSE(CONTROL!$C$22, $C$13, 100%, $E$13)</f>
        <v>5.4146999999999998</v>
      </c>
      <c r="D355" s="67">
        <f>5.4185 * CHOOSE(CONTROL!$C$22, $C$13, 100%, $E$13)</f>
        <v>5.4184999999999999</v>
      </c>
      <c r="E355" s="68">
        <f>6.5523 * CHOOSE(CONTROL!$C$22, $C$13, 100%, $E$13)</f>
        <v>6.5522999999999998</v>
      </c>
      <c r="F355" s="68">
        <f>6.5523 * CHOOSE(CONTROL!$C$22, $C$13, 100%, $E$13)</f>
        <v>6.5522999999999998</v>
      </c>
      <c r="G355" s="68">
        <f>6.557 * CHOOSE(CONTROL!$C$22, $C$13, 100%, $E$13)</f>
        <v>6.5570000000000004</v>
      </c>
      <c r="H355" s="68">
        <f>9.9724* CHOOSE(CONTROL!$C$22, $C$13, 100%, $E$13)</f>
        <v>9.9724000000000004</v>
      </c>
      <c r="I355" s="68">
        <f>9.9771 * CHOOSE(CONTROL!$C$22, $C$13, 100%, $E$13)</f>
        <v>9.9771000000000001</v>
      </c>
      <c r="J355" s="68">
        <f>6.5523 * CHOOSE(CONTROL!$C$22, $C$13, 100%, $E$13)</f>
        <v>6.5522999999999998</v>
      </c>
      <c r="K355" s="68">
        <f>6.557 * CHOOSE(CONTROL!$C$22, $C$13, 100%, $E$13)</f>
        <v>6.5570000000000004</v>
      </c>
    </row>
    <row r="356" spans="1:11" ht="15">
      <c r="A356" s="13">
        <v>51957</v>
      </c>
      <c r="B356" s="67">
        <f>5.4135 * CHOOSE(CONTROL!$C$22, $C$13, 100%, $E$13)</f>
        <v>5.4135</v>
      </c>
      <c r="C356" s="67">
        <f>5.4135 * CHOOSE(CONTROL!$C$22, $C$13, 100%, $E$13)</f>
        <v>5.4135</v>
      </c>
      <c r="D356" s="67">
        <f>5.4174 * CHOOSE(CONTROL!$C$22, $C$13, 100%, $E$13)</f>
        <v>5.4173999999999998</v>
      </c>
      <c r="E356" s="68">
        <f>6.6361 * CHOOSE(CONTROL!$C$22, $C$13, 100%, $E$13)</f>
        <v>6.6360999999999999</v>
      </c>
      <c r="F356" s="68">
        <f>6.6361 * CHOOSE(CONTROL!$C$22, $C$13, 100%, $E$13)</f>
        <v>6.6360999999999999</v>
      </c>
      <c r="G356" s="68">
        <f>6.6408 * CHOOSE(CONTROL!$C$22, $C$13, 100%, $E$13)</f>
        <v>6.6407999999999996</v>
      </c>
      <c r="H356" s="68">
        <f>9.9931* CHOOSE(CONTROL!$C$22, $C$13, 100%, $E$13)</f>
        <v>9.9931000000000001</v>
      </c>
      <c r="I356" s="68">
        <f>9.9979 * CHOOSE(CONTROL!$C$22, $C$13, 100%, $E$13)</f>
        <v>9.9978999999999996</v>
      </c>
      <c r="J356" s="68">
        <f>6.6361 * CHOOSE(CONTROL!$C$22, $C$13, 100%, $E$13)</f>
        <v>6.6360999999999999</v>
      </c>
      <c r="K356" s="68">
        <f>6.6408 * CHOOSE(CONTROL!$C$22, $C$13, 100%, $E$13)</f>
        <v>6.6407999999999996</v>
      </c>
    </row>
    <row r="357" spans="1:11" ht="15">
      <c r="A357" s="13">
        <v>51987</v>
      </c>
      <c r="B357" s="67">
        <f>5.4135 * CHOOSE(CONTROL!$C$22, $C$13, 100%, $E$13)</f>
        <v>5.4135</v>
      </c>
      <c r="C357" s="67">
        <f>5.4135 * CHOOSE(CONTROL!$C$22, $C$13, 100%, $E$13)</f>
        <v>5.4135</v>
      </c>
      <c r="D357" s="67">
        <f>5.419 * CHOOSE(CONTROL!$C$22, $C$13, 100%, $E$13)</f>
        <v>5.4189999999999996</v>
      </c>
      <c r="E357" s="68">
        <f>6.6691 * CHOOSE(CONTROL!$C$22, $C$13, 100%, $E$13)</f>
        <v>6.6691000000000003</v>
      </c>
      <c r="F357" s="68">
        <f>6.6691 * CHOOSE(CONTROL!$C$22, $C$13, 100%, $E$13)</f>
        <v>6.6691000000000003</v>
      </c>
      <c r="G357" s="68">
        <f>6.6758 * CHOOSE(CONTROL!$C$22, $C$13, 100%, $E$13)</f>
        <v>6.6757999999999997</v>
      </c>
      <c r="H357" s="68">
        <f>10.0139* CHOOSE(CONTROL!$C$22, $C$13, 100%, $E$13)</f>
        <v>10.0139</v>
      </c>
      <c r="I357" s="68">
        <f>10.0207 * CHOOSE(CONTROL!$C$22, $C$13, 100%, $E$13)</f>
        <v>10.0207</v>
      </c>
      <c r="J357" s="68">
        <f>6.6691 * CHOOSE(CONTROL!$C$22, $C$13, 100%, $E$13)</f>
        <v>6.6691000000000003</v>
      </c>
      <c r="K357" s="68">
        <f>6.6758 * CHOOSE(CONTROL!$C$22, $C$13, 100%, $E$13)</f>
        <v>6.6757999999999997</v>
      </c>
    </row>
    <row r="358" spans="1:11" ht="15">
      <c r="A358" s="13">
        <v>52018</v>
      </c>
      <c r="B358" s="67">
        <f>5.4196 * CHOOSE(CONTROL!$C$22, $C$13, 100%, $E$13)</f>
        <v>5.4196</v>
      </c>
      <c r="C358" s="67">
        <f>5.4196 * CHOOSE(CONTROL!$C$22, $C$13, 100%, $E$13)</f>
        <v>5.4196</v>
      </c>
      <c r="D358" s="67">
        <f>5.4251 * CHOOSE(CONTROL!$C$22, $C$13, 100%, $E$13)</f>
        <v>5.4250999999999996</v>
      </c>
      <c r="E358" s="68">
        <f>6.6403 * CHOOSE(CONTROL!$C$22, $C$13, 100%, $E$13)</f>
        <v>6.6402999999999999</v>
      </c>
      <c r="F358" s="68">
        <f>6.6403 * CHOOSE(CONTROL!$C$22, $C$13, 100%, $E$13)</f>
        <v>6.6402999999999999</v>
      </c>
      <c r="G358" s="68">
        <f>6.6471 * CHOOSE(CONTROL!$C$22, $C$13, 100%, $E$13)</f>
        <v>6.6471</v>
      </c>
      <c r="H358" s="68">
        <f>10.0348* CHOOSE(CONTROL!$C$22, $C$13, 100%, $E$13)</f>
        <v>10.034800000000001</v>
      </c>
      <c r="I358" s="68">
        <f>10.0415 * CHOOSE(CONTROL!$C$22, $C$13, 100%, $E$13)</f>
        <v>10.041499999999999</v>
      </c>
      <c r="J358" s="68">
        <f>6.6403 * CHOOSE(CONTROL!$C$22, $C$13, 100%, $E$13)</f>
        <v>6.6402999999999999</v>
      </c>
      <c r="K358" s="68">
        <f>6.6471 * CHOOSE(CONTROL!$C$22, $C$13, 100%, $E$13)</f>
        <v>6.6471</v>
      </c>
    </row>
    <row r="359" spans="1:11" ht="15">
      <c r="A359" s="13">
        <v>52048</v>
      </c>
      <c r="B359" s="67">
        <f>5.5082 * CHOOSE(CONTROL!$C$22, $C$13, 100%, $E$13)</f>
        <v>5.5082000000000004</v>
      </c>
      <c r="C359" s="67">
        <f>5.5082 * CHOOSE(CONTROL!$C$22, $C$13, 100%, $E$13)</f>
        <v>5.5082000000000004</v>
      </c>
      <c r="D359" s="67">
        <f>5.5137 * CHOOSE(CONTROL!$C$22, $C$13, 100%, $E$13)</f>
        <v>5.5137</v>
      </c>
      <c r="E359" s="68">
        <f>6.7527 * CHOOSE(CONTROL!$C$22, $C$13, 100%, $E$13)</f>
        <v>6.7526999999999999</v>
      </c>
      <c r="F359" s="68">
        <f>6.7527 * CHOOSE(CONTROL!$C$22, $C$13, 100%, $E$13)</f>
        <v>6.7526999999999999</v>
      </c>
      <c r="G359" s="68">
        <f>6.7595 * CHOOSE(CONTROL!$C$22, $C$13, 100%, $E$13)</f>
        <v>6.7595000000000001</v>
      </c>
      <c r="H359" s="68">
        <f>10.0557* CHOOSE(CONTROL!$C$22, $C$13, 100%, $E$13)</f>
        <v>10.0557</v>
      </c>
      <c r="I359" s="68">
        <f>10.0625 * CHOOSE(CONTROL!$C$22, $C$13, 100%, $E$13)</f>
        <v>10.0625</v>
      </c>
      <c r="J359" s="68">
        <f>6.7527 * CHOOSE(CONTROL!$C$22, $C$13, 100%, $E$13)</f>
        <v>6.7526999999999999</v>
      </c>
      <c r="K359" s="68">
        <f>6.7595 * CHOOSE(CONTROL!$C$22, $C$13, 100%, $E$13)</f>
        <v>6.7595000000000001</v>
      </c>
    </row>
    <row r="360" spans="1:11" ht="15">
      <c r="A360" s="13">
        <v>52079</v>
      </c>
      <c r="B360" s="67">
        <f>5.5149 * CHOOSE(CONTROL!$C$22, $C$13, 100%, $E$13)</f>
        <v>5.5148999999999999</v>
      </c>
      <c r="C360" s="67">
        <f>5.5149 * CHOOSE(CONTROL!$C$22, $C$13, 100%, $E$13)</f>
        <v>5.5148999999999999</v>
      </c>
      <c r="D360" s="67">
        <f>5.5204 * CHOOSE(CONTROL!$C$22, $C$13, 100%, $E$13)</f>
        <v>5.5204000000000004</v>
      </c>
      <c r="E360" s="68">
        <f>6.6583 * CHOOSE(CONTROL!$C$22, $C$13, 100%, $E$13)</f>
        <v>6.6582999999999997</v>
      </c>
      <c r="F360" s="68">
        <f>6.6583 * CHOOSE(CONTROL!$C$22, $C$13, 100%, $E$13)</f>
        <v>6.6582999999999997</v>
      </c>
      <c r="G360" s="68">
        <f>6.6651 * CHOOSE(CONTROL!$C$22, $C$13, 100%, $E$13)</f>
        <v>6.6650999999999998</v>
      </c>
      <c r="H360" s="68">
        <f>10.0767* CHOOSE(CONTROL!$C$22, $C$13, 100%, $E$13)</f>
        <v>10.076700000000001</v>
      </c>
      <c r="I360" s="68">
        <f>10.0834 * CHOOSE(CONTROL!$C$22, $C$13, 100%, $E$13)</f>
        <v>10.083399999999999</v>
      </c>
      <c r="J360" s="68">
        <f>6.6583 * CHOOSE(CONTROL!$C$22, $C$13, 100%, $E$13)</f>
        <v>6.6582999999999997</v>
      </c>
      <c r="K360" s="68">
        <f>6.6651 * CHOOSE(CONTROL!$C$22, $C$13, 100%, $E$13)</f>
        <v>6.6650999999999998</v>
      </c>
    </row>
    <row r="361" spans="1:11" ht="15">
      <c r="A361" s="13">
        <v>52110</v>
      </c>
      <c r="B361" s="67">
        <f>5.5119 * CHOOSE(CONTROL!$C$22, $C$13, 100%, $E$13)</f>
        <v>5.5118999999999998</v>
      </c>
      <c r="C361" s="67">
        <f>5.5119 * CHOOSE(CONTROL!$C$22, $C$13, 100%, $E$13)</f>
        <v>5.5118999999999998</v>
      </c>
      <c r="D361" s="67">
        <f>5.5174 * CHOOSE(CONTROL!$C$22, $C$13, 100%, $E$13)</f>
        <v>5.5174000000000003</v>
      </c>
      <c r="E361" s="68">
        <f>6.6452 * CHOOSE(CONTROL!$C$22, $C$13, 100%, $E$13)</f>
        <v>6.6452</v>
      </c>
      <c r="F361" s="68">
        <f>6.6452 * CHOOSE(CONTROL!$C$22, $C$13, 100%, $E$13)</f>
        <v>6.6452</v>
      </c>
      <c r="G361" s="68">
        <f>6.6519 * CHOOSE(CONTROL!$C$22, $C$13, 100%, $E$13)</f>
        <v>6.6519000000000004</v>
      </c>
      <c r="H361" s="68">
        <f>10.0977* CHOOSE(CONTROL!$C$22, $C$13, 100%, $E$13)</f>
        <v>10.0977</v>
      </c>
      <c r="I361" s="68">
        <f>10.1044 * CHOOSE(CONTROL!$C$22, $C$13, 100%, $E$13)</f>
        <v>10.1044</v>
      </c>
      <c r="J361" s="68">
        <f>6.6452 * CHOOSE(CONTROL!$C$22, $C$13, 100%, $E$13)</f>
        <v>6.6452</v>
      </c>
      <c r="K361" s="68">
        <f>6.6519 * CHOOSE(CONTROL!$C$22, $C$13, 100%, $E$13)</f>
        <v>6.6519000000000004</v>
      </c>
    </row>
    <row r="362" spans="1:11" ht="15">
      <c r="A362" s="13">
        <v>52140</v>
      </c>
      <c r="B362" s="67">
        <f>5.5119 * CHOOSE(CONTROL!$C$22, $C$13, 100%, $E$13)</f>
        <v>5.5118999999999998</v>
      </c>
      <c r="C362" s="67">
        <f>5.5119 * CHOOSE(CONTROL!$C$22, $C$13, 100%, $E$13)</f>
        <v>5.5118999999999998</v>
      </c>
      <c r="D362" s="67">
        <f>5.5158 * CHOOSE(CONTROL!$C$22, $C$13, 100%, $E$13)</f>
        <v>5.5157999999999996</v>
      </c>
      <c r="E362" s="68">
        <f>6.6758 * CHOOSE(CONTROL!$C$22, $C$13, 100%, $E$13)</f>
        <v>6.6757999999999997</v>
      </c>
      <c r="F362" s="68">
        <f>6.6758 * CHOOSE(CONTROL!$C$22, $C$13, 100%, $E$13)</f>
        <v>6.6757999999999997</v>
      </c>
      <c r="G362" s="68">
        <f>6.6806 * CHOOSE(CONTROL!$C$22, $C$13, 100%, $E$13)</f>
        <v>6.6806000000000001</v>
      </c>
      <c r="H362" s="68">
        <f>10.1187* CHOOSE(CONTROL!$C$22, $C$13, 100%, $E$13)</f>
        <v>10.1187</v>
      </c>
      <c r="I362" s="68">
        <f>10.1235 * CHOOSE(CONTROL!$C$22, $C$13, 100%, $E$13)</f>
        <v>10.1235</v>
      </c>
      <c r="J362" s="68">
        <f>6.6758 * CHOOSE(CONTROL!$C$22, $C$13, 100%, $E$13)</f>
        <v>6.6757999999999997</v>
      </c>
      <c r="K362" s="68">
        <f>6.6806 * CHOOSE(CONTROL!$C$22, $C$13, 100%, $E$13)</f>
        <v>6.6806000000000001</v>
      </c>
    </row>
    <row r="363" spans="1:11" ht="15">
      <c r="A363" s="13">
        <v>52171</v>
      </c>
      <c r="B363" s="67">
        <f>5.515 * CHOOSE(CONTROL!$C$22, $C$13, 100%, $E$13)</f>
        <v>5.5149999999999997</v>
      </c>
      <c r="C363" s="67">
        <f>5.515 * CHOOSE(CONTROL!$C$22, $C$13, 100%, $E$13)</f>
        <v>5.5149999999999997</v>
      </c>
      <c r="D363" s="67">
        <f>5.5188 * CHOOSE(CONTROL!$C$22, $C$13, 100%, $E$13)</f>
        <v>5.5187999999999997</v>
      </c>
      <c r="E363" s="68">
        <f>6.6999 * CHOOSE(CONTROL!$C$22, $C$13, 100%, $E$13)</f>
        <v>6.6999000000000004</v>
      </c>
      <c r="F363" s="68">
        <f>6.6999 * CHOOSE(CONTROL!$C$22, $C$13, 100%, $E$13)</f>
        <v>6.6999000000000004</v>
      </c>
      <c r="G363" s="68">
        <f>6.7047 * CHOOSE(CONTROL!$C$22, $C$13, 100%, $E$13)</f>
        <v>6.7046999999999999</v>
      </c>
      <c r="H363" s="68">
        <f>10.1398* CHOOSE(CONTROL!$C$22, $C$13, 100%, $E$13)</f>
        <v>10.139799999999999</v>
      </c>
      <c r="I363" s="68">
        <f>10.1445 * CHOOSE(CONTROL!$C$22, $C$13, 100%, $E$13)</f>
        <v>10.144500000000001</v>
      </c>
      <c r="J363" s="68">
        <f>6.6999 * CHOOSE(CONTROL!$C$22, $C$13, 100%, $E$13)</f>
        <v>6.6999000000000004</v>
      </c>
      <c r="K363" s="68">
        <f>6.7047 * CHOOSE(CONTROL!$C$22, $C$13, 100%, $E$13)</f>
        <v>6.7046999999999999</v>
      </c>
    </row>
    <row r="364" spans="1:11" ht="15">
      <c r="A364" s="13">
        <v>52201</v>
      </c>
      <c r="B364" s="67">
        <f>5.515 * CHOOSE(CONTROL!$C$22, $C$13, 100%, $E$13)</f>
        <v>5.5149999999999997</v>
      </c>
      <c r="C364" s="67">
        <f>5.515 * CHOOSE(CONTROL!$C$22, $C$13, 100%, $E$13)</f>
        <v>5.5149999999999997</v>
      </c>
      <c r="D364" s="67">
        <f>5.5188 * CHOOSE(CONTROL!$C$22, $C$13, 100%, $E$13)</f>
        <v>5.5187999999999997</v>
      </c>
      <c r="E364" s="68">
        <f>6.6449 * CHOOSE(CONTROL!$C$22, $C$13, 100%, $E$13)</f>
        <v>6.6448999999999998</v>
      </c>
      <c r="F364" s="68">
        <f>6.6449 * CHOOSE(CONTROL!$C$22, $C$13, 100%, $E$13)</f>
        <v>6.6448999999999998</v>
      </c>
      <c r="G364" s="68">
        <f>6.6497 * CHOOSE(CONTROL!$C$22, $C$13, 100%, $E$13)</f>
        <v>6.6497000000000002</v>
      </c>
      <c r="H364" s="68">
        <f>10.1609* CHOOSE(CONTROL!$C$22, $C$13, 100%, $E$13)</f>
        <v>10.1609</v>
      </c>
      <c r="I364" s="68">
        <f>10.1657 * CHOOSE(CONTROL!$C$22, $C$13, 100%, $E$13)</f>
        <v>10.165699999999999</v>
      </c>
      <c r="J364" s="68">
        <f>6.6449 * CHOOSE(CONTROL!$C$22, $C$13, 100%, $E$13)</f>
        <v>6.6448999999999998</v>
      </c>
      <c r="K364" s="68">
        <f>6.6497 * CHOOSE(CONTROL!$C$22, $C$13, 100%, $E$13)</f>
        <v>6.6497000000000002</v>
      </c>
    </row>
    <row r="365" spans="1:11" ht="15">
      <c r="A365" s="13">
        <v>52232</v>
      </c>
      <c r="B365" s="67">
        <f>5.5637 * CHOOSE(CONTROL!$C$22, $C$13, 100%, $E$13)</f>
        <v>5.5636999999999999</v>
      </c>
      <c r="C365" s="67">
        <f>5.5637 * CHOOSE(CONTROL!$C$22, $C$13, 100%, $E$13)</f>
        <v>5.5636999999999999</v>
      </c>
      <c r="D365" s="67">
        <f>5.5675 * CHOOSE(CONTROL!$C$22, $C$13, 100%, $E$13)</f>
        <v>5.5674999999999999</v>
      </c>
      <c r="E365" s="68">
        <f>6.7392 * CHOOSE(CONTROL!$C$22, $C$13, 100%, $E$13)</f>
        <v>6.7392000000000003</v>
      </c>
      <c r="F365" s="68">
        <f>6.7392 * CHOOSE(CONTROL!$C$22, $C$13, 100%, $E$13)</f>
        <v>6.7392000000000003</v>
      </c>
      <c r="G365" s="68">
        <f>6.744 * CHOOSE(CONTROL!$C$22, $C$13, 100%, $E$13)</f>
        <v>6.7439999999999998</v>
      </c>
      <c r="H365" s="68">
        <f>10.1821* CHOOSE(CONTROL!$C$22, $C$13, 100%, $E$13)</f>
        <v>10.1821</v>
      </c>
      <c r="I365" s="68">
        <f>10.1868 * CHOOSE(CONTROL!$C$22, $C$13, 100%, $E$13)</f>
        <v>10.1868</v>
      </c>
      <c r="J365" s="68">
        <f>6.7392 * CHOOSE(CONTROL!$C$22, $C$13, 100%, $E$13)</f>
        <v>6.7392000000000003</v>
      </c>
      <c r="K365" s="68">
        <f>6.744 * CHOOSE(CONTROL!$C$22, $C$13, 100%, $E$13)</f>
        <v>6.7439999999999998</v>
      </c>
    </row>
    <row r="366" spans="1:11" ht="15">
      <c r="A366" s="13">
        <v>52263</v>
      </c>
      <c r="B366" s="67">
        <f>5.5606 * CHOOSE(CONTROL!$C$22, $C$13, 100%, $E$13)</f>
        <v>5.5606</v>
      </c>
      <c r="C366" s="67">
        <f>5.5606 * CHOOSE(CONTROL!$C$22, $C$13, 100%, $E$13)</f>
        <v>5.5606</v>
      </c>
      <c r="D366" s="67">
        <f>5.5645 * CHOOSE(CONTROL!$C$22, $C$13, 100%, $E$13)</f>
        <v>5.5644999999999998</v>
      </c>
      <c r="E366" s="68">
        <f>6.6302 * CHOOSE(CONTROL!$C$22, $C$13, 100%, $E$13)</f>
        <v>6.6302000000000003</v>
      </c>
      <c r="F366" s="68">
        <f>6.6302 * CHOOSE(CONTROL!$C$22, $C$13, 100%, $E$13)</f>
        <v>6.6302000000000003</v>
      </c>
      <c r="G366" s="68">
        <f>6.6349 * CHOOSE(CONTROL!$C$22, $C$13, 100%, $E$13)</f>
        <v>6.6349</v>
      </c>
      <c r="H366" s="68">
        <f>10.2033* CHOOSE(CONTROL!$C$22, $C$13, 100%, $E$13)</f>
        <v>10.2033</v>
      </c>
      <c r="I366" s="68">
        <f>10.208 * CHOOSE(CONTROL!$C$22, $C$13, 100%, $E$13)</f>
        <v>10.208</v>
      </c>
      <c r="J366" s="68">
        <f>6.6302 * CHOOSE(CONTROL!$C$22, $C$13, 100%, $E$13)</f>
        <v>6.6302000000000003</v>
      </c>
      <c r="K366" s="68">
        <f>6.6349 * CHOOSE(CONTROL!$C$22, $C$13, 100%, $E$13)</f>
        <v>6.6349</v>
      </c>
    </row>
    <row r="367" spans="1:11" ht="15">
      <c r="A367" s="13">
        <v>52291</v>
      </c>
      <c r="B367" s="67">
        <f>5.5576 * CHOOSE(CONTROL!$C$22, $C$13, 100%, $E$13)</f>
        <v>5.5575999999999999</v>
      </c>
      <c r="C367" s="67">
        <f>5.5576 * CHOOSE(CONTROL!$C$22, $C$13, 100%, $E$13)</f>
        <v>5.5575999999999999</v>
      </c>
      <c r="D367" s="67">
        <f>5.5614 * CHOOSE(CONTROL!$C$22, $C$13, 100%, $E$13)</f>
        <v>5.5613999999999999</v>
      </c>
      <c r="E367" s="68">
        <f>6.7123 * CHOOSE(CONTROL!$C$22, $C$13, 100%, $E$13)</f>
        <v>6.7122999999999999</v>
      </c>
      <c r="F367" s="68">
        <f>6.7123 * CHOOSE(CONTROL!$C$22, $C$13, 100%, $E$13)</f>
        <v>6.7122999999999999</v>
      </c>
      <c r="G367" s="68">
        <f>6.7171 * CHOOSE(CONTROL!$C$22, $C$13, 100%, $E$13)</f>
        <v>6.7171000000000003</v>
      </c>
      <c r="H367" s="68">
        <f>10.2245* CHOOSE(CONTROL!$C$22, $C$13, 100%, $E$13)</f>
        <v>10.224500000000001</v>
      </c>
      <c r="I367" s="68">
        <f>10.2293 * CHOOSE(CONTROL!$C$22, $C$13, 100%, $E$13)</f>
        <v>10.2293</v>
      </c>
      <c r="J367" s="68">
        <f>6.7123 * CHOOSE(CONTROL!$C$22, $C$13, 100%, $E$13)</f>
        <v>6.7122999999999999</v>
      </c>
      <c r="K367" s="68">
        <f>6.7171 * CHOOSE(CONTROL!$C$22, $C$13, 100%, $E$13)</f>
        <v>6.7171000000000003</v>
      </c>
    </row>
    <row r="368" spans="1:11" ht="15">
      <c r="A368" s="13">
        <v>52322</v>
      </c>
      <c r="B368" s="67">
        <f>5.5566 * CHOOSE(CONTROL!$C$22, $C$13, 100%, $E$13)</f>
        <v>5.5566000000000004</v>
      </c>
      <c r="C368" s="67">
        <f>5.5566 * CHOOSE(CONTROL!$C$22, $C$13, 100%, $E$13)</f>
        <v>5.5566000000000004</v>
      </c>
      <c r="D368" s="67">
        <f>5.5604 * CHOOSE(CONTROL!$C$22, $C$13, 100%, $E$13)</f>
        <v>5.5603999999999996</v>
      </c>
      <c r="E368" s="68">
        <f>6.7986 * CHOOSE(CONTROL!$C$22, $C$13, 100%, $E$13)</f>
        <v>6.7986000000000004</v>
      </c>
      <c r="F368" s="68">
        <f>6.7986 * CHOOSE(CONTROL!$C$22, $C$13, 100%, $E$13)</f>
        <v>6.7986000000000004</v>
      </c>
      <c r="G368" s="68">
        <f>6.8034 * CHOOSE(CONTROL!$C$22, $C$13, 100%, $E$13)</f>
        <v>6.8033999999999999</v>
      </c>
      <c r="H368" s="68">
        <f>10.2458* CHOOSE(CONTROL!$C$22, $C$13, 100%, $E$13)</f>
        <v>10.245799999999999</v>
      </c>
      <c r="I368" s="68">
        <f>10.2506 * CHOOSE(CONTROL!$C$22, $C$13, 100%, $E$13)</f>
        <v>10.2506</v>
      </c>
      <c r="J368" s="68">
        <f>6.7986 * CHOOSE(CONTROL!$C$22, $C$13, 100%, $E$13)</f>
        <v>6.7986000000000004</v>
      </c>
      <c r="K368" s="68">
        <f>6.8034 * CHOOSE(CONTROL!$C$22, $C$13, 100%, $E$13)</f>
        <v>6.8033999999999999</v>
      </c>
    </row>
    <row r="369" spans="1:11" ht="15">
      <c r="A369" s="13">
        <v>52352</v>
      </c>
      <c r="B369" s="67">
        <f>5.5566 * CHOOSE(CONTROL!$C$22, $C$13, 100%, $E$13)</f>
        <v>5.5566000000000004</v>
      </c>
      <c r="C369" s="67">
        <f>5.5566 * CHOOSE(CONTROL!$C$22, $C$13, 100%, $E$13)</f>
        <v>5.5566000000000004</v>
      </c>
      <c r="D369" s="67">
        <f>5.5621 * CHOOSE(CONTROL!$C$22, $C$13, 100%, $E$13)</f>
        <v>5.5621</v>
      </c>
      <c r="E369" s="68">
        <f>6.8326 * CHOOSE(CONTROL!$C$22, $C$13, 100%, $E$13)</f>
        <v>6.8326000000000002</v>
      </c>
      <c r="F369" s="68">
        <f>6.8326 * CHOOSE(CONTROL!$C$22, $C$13, 100%, $E$13)</f>
        <v>6.8326000000000002</v>
      </c>
      <c r="G369" s="68">
        <f>6.8393 * CHOOSE(CONTROL!$C$22, $C$13, 100%, $E$13)</f>
        <v>6.8392999999999997</v>
      </c>
      <c r="H369" s="68">
        <f>10.2672* CHOOSE(CONTROL!$C$22, $C$13, 100%, $E$13)</f>
        <v>10.267200000000001</v>
      </c>
      <c r="I369" s="68">
        <f>10.2739 * CHOOSE(CONTROL!$C$22, $C$13, 100%, $E$13)</f>
        <v>10.273899999999999</v>
      </c>
      <c r="J369" s="68">
        <f>6.8326 * CHOOSE(CONTROL!$C$22, $C$13, 100%, $E$13)</f>
        <v>6.8326000000000002</v>
      </c>
      <c r="K369" s="68">
        <f>6.8393 * CHOOSE(CONTROL!$C$22, $C$13, 100%, $E$13)</f>
        <v>6.8392999999999997</v>
      </c>
    </row>
    <row r="370" spans="1:11" ht="15">
      <c r="A370" s="13">
        <v>52383</v>
      </c>
      <c r="B370" s="67">
        <f>5.5627 * CHOOSE(CONTROL!$C$22, $C$13, 100%, $E$13)</f>
        <v>5.5627000000000004</v>
      </c>
      <c r="C370" s="67">
        <f>5.5627 * CHOOSE(CONTROL!$C$22, $C$13, 100%, $E$13)</f>
        <v>5.5627000000000004</v>
      </c>
      <c r="D370" s="67">
        <f>5.5682 * CHOOSE(CONTROL!$C$22, $C$13, 100%, $E$13)</f>
        <v>5.5682</v>
      </c>
      <c r="E370" s="68">
        <f>6.8029 * CHOOSE(CONTROL!$C$22, $C$13, 100%, $E$13)</f>
        <v>6.8029000000000002</v>
      </c>
      <c r="F370" s="68">
        <f>6.8029 * CHOOSE(CONTROL!$C$22, $C$13, 100%, $E$13)</f>
        <v>6.8029000000000002</v>
      </c>
      <c r="G370" s="68">
        <f>6.8096 * CHOOSE(CONTROL!$C$22, $C$13, 100%, $E$13)</f>
        <v>6.8095999999999997</v>
      </c>
      <c r="H370" s="68">
        <f>10.2886* CHOOSE(CONTROL!$C$22, $C$13, 100%, $E$13)</f>
        <v>10.288600000000001</v>
      </c>
      <c r="I370" s="68">
        <f>10.2953 * CHOOSE(CONTROL!$C$22, $C$13, 100%, $E$13)</f>
        <v>10.295299999999999</v>
      </c>
      <c r="J370" s="68">
        <f>6.8029 * CHOOSE(CONTROL!$C$22, $C$13, 100%, $E$13)</f>
        <v>6.8029000000000002</v>
      </c>
      <c r="K370" s="68">
        <f>6.8096 * CHOOSE(CONTROL!$C$22, $C$13, 100%, $E$13)</f>
        <v>6.8095999999999997</v>
      </c>
    </row>
    <row r="371" spans="1:11" ht="15">
      <c r="A371" s="13">
        <v>52413</v>
      </c>
      <c r="B371" s="67">
        <f>5.6532 * CHOOSE(CONTROL!$C$22, $C$13, 100%, $E$13)</f>
        <v>5.6532</v>
      </c>
      <c r="C371" s="67">
        <f>5.6532 * CHOOSE(CONTROL!$C$22, $C$13, 100%, $E$13)</f>
        <v>5.6532</v>
      </c>
      <c r="D371" s="67">
        <f>5.6587 * CHOOSE(CONTROL!$C$22, $C$13, 100%, $E$13)</f>
        <v>5.6586999999999996</v>
      </c>
      <c r="E371" s="68">
        <f>6.9177 * CHOOSE(CONTROL!$C$22, $C$13, 100%, $E$13)</f>
        <v>6.9177</v>
      </c>
      <c r="F371" s="68">
        <f>6.9177 * CHOOSE(CONTROL!$C$22, $C$13, 100%, $E$13)</f>
        <v>6.9177</v>
      </c>
      <c r="G371" s="68">
        <f>6.9244 * CHOOSE(CONTROL!$C$22, $C$13, 100%, $E$13)</f>
        <v>6.9244000000000003</v>
      </c>
      <c r="H371" s="68">
        <f>10.31* CHOOSE(CONTROL!$C$22, $C$13, 100%, $E$13)</f>
        <v>10.31</v>
      </c>
      <c r="I371" s="68">
        <f>10.3167 * CHOOSE(CONTROL!$C$22, $C$13, 100%, $E$13)</f>
        <v>10.316700000000001</v>
      </c>
      <c r="J371" s="68">
        <f>6.9177 * CHOOSE(CONTROL!$C$22, $C$13, 100%, $E$13)</f>
        <v>6.9177</v>
      </c>
      <c r="K371" s="68">
        <f>6.9244 * CHOOSE(CONTROL!$C$22, $C$13, 100%, $E$13)</f>
        <v>6.9244000000000003</v>
      </c>
    </row>
    <row r="372" spans="1:11" ht="15">
      <c r="A372" s="13">
        <v>52444</v>
      </c>
      <c r="B372" s="67">
        <f>5.6599 * CHOOSE(CONTROL!$C$22, $C$13, 100%, $E$13)</f>
        <v>5.6599000000000004</v>
      </c>
      <c r="C372" s="67">
        <f>5.6599 * CHOOSE(CONTROL!$C$22, $C$13, 100%, $E$13)</f>
        <v>5.6599000000000004</v>
      </c>
      <c r="D372" s="67">
        <f>5.6654 * CHOOSE(CONTROL!$C$22, $C$13, 100%, $E$13)</f>
        <v>5.6654</v>
      </c>
      <c r="E372" s="68">
        <f>6.8205 * CHOOSE(CONTROL!$C$22, $C$13, 100%, $E$13)</f>
        <v>6.8205</v>
      </c>
      <c r="F372" s="68">
        <f>6.8205 * CHOOSE(CONTROL!$C$22, $C$13, 100%, $E$13)</f>
        <v>6.8205</v>
      </c>
      <c r="G372" s="68">
        <f>6.8272 * CHOOSE(CONTROL!$C$22, $C$13, 100%, $E$13)</f>
        <v>6.8272000000000004</v>
      </c>
      <c r="H372" s="68">
        <f>10.3315* CHOOSE(CONTROL!$C$22, $C$13, 100%, $E$13)</f>
        <v>10.3315</v>
      </c>
      <c r="I372" s="68">
        <f>10.3382 * CHOOSE(CONTROL!$C$22, $C$13, 100%, $E$13)</f>
        <v>10.338200000000001</v>
      </c>
      <c r="J372" s="68">
        <f>6.8205 * CHOOSE(CONTROL!$C$22, $C$13, 100%, $E$13)</f>
        <v>6.8205</v>
      </c>
      <c r="K372" s="68">
        <f>6.8272 * CHOOSE(CONTROL!$C$22, $C$13, 100%, $E$13)</f>
        <v>6.8272000000000004</v>
      </c>
    </row>
    <row r="373" spans="1:11" ht="15">
      <c r="A373" s="13">
        <v>52475</v>
      </c>
      <c r="B373" s="67">
        <f>5.6569 * CHOOSE(CONTROL!$C$22, $C$13, 100%, $E$13)</f>
        <v>5.6569000000000003</v>
      </c>
      <c r="C373" s="67">
        <f>5.6569 * CHOOSE(CONTROL!$C$22, $C$13, 100%, $E$13)</f>
        <v>5.6569000000000003</v>
      </c>
      <c r="D373" s="67">
        <f>5.6624 * CHOOSE(CONTROL!$C$22, $C$13, 100%, $E$13)</f>
        <v>5.6623999999999999</v>
      </c>
      <c r="E373" s="68">
        <f>6.8071 * CHOOSE(CONTROL!$C$22, $C$13, 100%, $E$13)</f>
        <v>6.8071000000000002</v>
      </c>
      <c r="F373" s="68">
        <f>6.8071 * CHOOSE(CONTROL!$C$22, $C$13, 100%, $E$13)</f>
        <v>6.8071000000000002</v>
      </c>
      <c r="G373" s="68">
        <f>6.8138 * CHOOSE(CONTROL!$C$22, $C$13, 100%, $E$13)</f>
        <v>6.8137999999999996</v>
      </c>
      <c r="H373" s="68">
        <f>10.353* CHOOSE(CONTROL!$C$22, $C$13, 100%, $E$13)</f>
        <v>10.353</v>
      </c>
      <c r="I373" s="68">
        <f>10.3597 * CHOOSE(CONTROL!$C$22, $C$13, 100%, $E$13)</f>
        <v>10.3597</v>
      </c>
      <c r="J373" s="68">
        <f>6.8071 * CHOOSE(CONTROL!$C$22, $C$13, 100%, $E$13)</f>
        <v>6.8071000000000002</v>
      </c>
      <c r="K373" s="68">
        <f>6.8138 * CHOOSE(CONTROL!$C$22, $C$13, 100%, $E$13)</f>
        <v>6.8137999999999996</v>
      </c>
    </row>
    <row r="374" spans="1:11" ht="15">
      <c r="A374" s="13">
        <v>52505</v>
      </c>
      <c r="B374" s="67">
        <f>5.6574 * CHOOSE(CONTROL!$C$22, $C$13, 100%, $E$13)</f>
        <v>5.6574</v>
      </c>
      <c r="C374" s="67">
        <f>5.6574 * CHOOSE(CONTROL!$C$22, $C$13, 100%, $E$13)</f>
        <v>5.6574</v>
      </c>
      <c r="D374" s="67">
        <f>5.6613 * CHOOSE(CONTROL!$C$22, $C$13, 100%, $E$13)</f>
        <v>5.6612999999999998</v>
      </c>
      <c r="E374" s="68">
        <f>6.8389 * CHOOSE(CONTROL!$C$22, $C$13, 100%, $E$13)</f>
        <v>6.8388999999999998</v>
      </c>
      <c r="F374" s="68">
        <f>6.8389 * CHOOSE(CONTROL!$C$22, $C$13, 100%, $E$13)</f>
        <v>6.8388999999999998</v>
      </c>
      <c r="G374" s="68">
        <f>6.8437 * CHOOSE(CONTROL!$C$22, $C$13, 100%, $E$13)</f>
        <v>6.8437000000000001</v>
      </c>
      <c r="H374" s="68">
        <f>10.3746* CHOOSE(CONTROL!$C$22, $C$13, 100%, $E$13)</f>
        <v>10.374599999999999</v>
      </c>
      <c r="I374" s="68">
        <f>10.3793 * CHOOSE(CONTROL!$C$22, $C$13, 100%, $E$13)</f>
        <v>10.379300000000001</v>
      </c>
      <c r="J374" s="68">
        <f>6.8389 * CHOOSE(CONTROL!$C$22, $C$13, 100%, $E$13)</f>
        <v>6.8388999999999998</v>
      </c>
      <c r="K374" s="68">
        <f>6.8437 * CHOOSE(CONTROL!$C$22, $C$13, 100%, $E$13)</f>
        <v>6.8437000000000001</v>
      </c>
    </row>
    <row r="375" spans="1:11" ht="15">
      <c r="A375" s="13">
        <v>52536</v>
      </c>
      <c r="B375" s="67">
        <f>5.6605 * CHOOSE(CONTROL!$C$22, $C$13, 100%, $E$13)</f>
        <v>5.6604999999999999</v>
      </c>
      <c r="C375" s="67">
        <f>5.6605 * CHOOSE(CONTROL!$C$22, $C$13, 100%, $E$13)</f>
        <v>5.6604999999999999</v>
      </c>
      <c r="D375" s="67">
        <f>5.6643 * CHOOSE(CONTROL!$C$22, $C$13, 100%, $E$13)</f>
        <v>5.6642999999999999</v>
      </c>
      <c r="E375" s="68">
        <f>6.8636 * CHOOSE(CONTROL!$C$22, $C$13, 100%, $E$13)</f>
        <v>6.8635999999999999</v>
      </c>
      <c r="F375" s="68">
        <f>6.8636 * CHOOSE(CONTROL!$C$22, $C$13, 100%, $E$13)</f>
        <v>6.8635999999999999</v>
      </c>
      <c r="G375" s="68">
        <f>6.8684 * CHOOSE(CONTROL!$C$22, $C$13, 100%, $E$13)</f>
        <v>6.8684000000000003</v>
      </c>
      <c r="H375" s="68">
        <f>10.3962* CHOOSE(CONTROL!$C$22, $C$13, 100%, $E$13)</f>
        <v>10.3962</v>
      </c>
      <c r="I375" s="68">
        <f>10.401 * CHOOSE(CONTROL!$C$22, $C$13, 100%, $E$13)</f>
        <v>10.401</v>
      </c>
      <c r="J375" s="68">
        <f>6.8636 * CHOOSE(CONTROL!$C$22, $C$13, 100%, $E$13)</f>
        <v>6.8635999999999999</v>
      </c>
      <c r="K375" s="68">
        <f>6.8684 * CHOOSE(CONTROL!$C$22, $C$13, 100%, $E$13)</f>
        <v>6.8684000000000003</v>
      </c>
    </row>
    <row r="376" spans="1:11" ht="15">
      <c r="A376" s="13">
        <v>52566</v>
      </c>
      <c r="B376" s="67">
        <f>5.6605 * CHOOSE(CONTROL!$C$22, $C$13, 100%, $E$13)</f>
        <v>5.6604999999999999</v>
      </c>
      <c r="C376" s="67">
        <f>5.6605 * CHOOSE(CONTROL!$C$22, $C$13, 100%, $E$13)</f>
        <v>5.6604999999999999</v>
      </c>
      <c r="D376" s="67">
        <f>5.6643 * CHOOSE(CONTROL!$C$22, $C$13, 100%, $E$13)</f>
        <v>5.6642999999999999</v>
      </c>
      <c r="E376" s="68">
        <f>6.8071 * CHOOSE(CONTROL!$C$22, $C$13, 100%, $E$13)</f>
        <v>6.8071000000000002</v>
      </c>
      <c r="F376" s="68">
        <f>6.8071 * CHOOSE(CONTROL!$C$22, $C$13, 100%, $E$13)</f>
        <v>6.8071000000000002</v>
      </c>
      <c r="G376" s="68">
        <f>6.8118 * CHOOSE(CONTROL!$C$22, $C$13, 100%, $E$13)</f>
        <v>6.8117999999999999</v>
      </c>
      <c r="H376" s="68">
        <f>10.4179* CHOOSE(CONTROL!$C$22, $C$13, 100%, $E$13)</f>
        <v>10.417899999999999</v>
      </c>
      <c r="I376" s="68">
        <f>10.4226 * CHOOSE(CONTROL!$C$22, $C$13, 100%, $E$13)</f>
        <v>10.422599999999999</v>
      </c>
      <c r="J376" s="68">
        <f>6.8071 * CHOOSE(CONTROL!$C$22, $C$13, 100%, $E$13)</f>
        <v>6.8071000000000002</v>
      </c>
      <c r="K376" s="68">
        <f>6.8118 * CHOOSE(CONTROL!$C$22, $C$13, 100%, $E$13)</f>
        <v>6.8117999999999999</v>
      </c>
    </row>
    <row r="377" spans="1:11" ht="15">
      <c r="A377" s="13">
        <v>52597</v>
      </c>
      <c r="B377" s="67">
        <f>5.7103 * CHOOSE(CONTROL!$C$22, $C$13, 100%, $E$13)</f>
        <v>5.7103000000000002</v>
      </c>
      <c r="C377" s="67">
        <f>5.7103 * CHOOSE(CONTROL!$C$22, $C$13, 100%, $E$13)</f>
        <v>5.7103000000000002</v>
      </c>
      <c r="D377" s="67">
        <f>5.7142 * CHOOSE(CONTROL!$C$22, $C$13, 100%, $E$13)</f>
        <v>5.7141999999999999</v>
      </c>
      <c r="E377" s="68">
        <f>6.9038 * CHOOSE(CONTROL!$C$22, $C$13, 100%, $E$13)</f>
        <v>6.9038000000000004</v>
      </c>
      <c r="F377" s="68">
        <f>6.9038 * CHOOSE(CONTROL!$C$22, $C$13, 100%, $E$13)</f>
        <v>6.9038000000000004</v>
      </c>
      <c r="G377" s="68">
        <f>6.9085 * CHOOSE(CONTROL!$C$22, $C$13, 100%, $E$13)</f>
        <v>6.9085000000000001</v>
      </c>
      <c r="H377" s="68">
        <f>10.4396* CHOOSE(CONTROL!$C$22, $C$13, 100%, $E$13)</f>
        <v>10.4396</v>
      </c>
      <c r="I377" s="68">
        <f>10.4443 * CHOOSE(CONTROL!$C$22, $C$13, 100%, $E$13)</f>
        <v>10.4443</v>
      </c>
      <c r="J377" s="68">
        <f>6.9038 * CHOOSE(CONTROL!$C$22, $C$13, 100%, $E$13)</f>
        <v>6.9038000000000004</v>
      </c>
      <c r="K377" s="68">
        <f>6.9085 * CHOOSE(CONTROL!$C$22, $C$13, 100%, $E$13)</f>
        <v>6.9085000000000001</v>
      </c>
    </row>
    <row r="378" spans="1:11" ht="15">
      <c r="A378" s="13">
        <v>52628</v>
      </c>
      <c r="B378" s="67">
        <f>5.7073 * CHOOSE(CONTROL!$C$22, $C$13, 100%, $E$13)</f>
        <v>5.7073</v>
      </c>
      <c r="C378" s="67">
        <f>5.7073 * CHOOSE(CONTROL!$C$22, $C$13, 100%, $E$13)</f>
        <v>5.7073</v>
      </c>
      <c r="D378" s="67">
        <f>5.7111 * CHOOSE(CONTROL!$C$22, $C$13, 100%, $E$13)</f>
        <v>5.7111000000000001</v>
      </c>
      <c r="E378" s="68">
        <f>6.7917 * CHOOSE(CONTROL!$C$22, $C$13, 100%, $E$13)</f>
        <v>6.7916999999999996</v>
      </c>
      <c r="F378" s="68">
        <f>6.7917 * CHOOSE(CONTROL!$C$22, $C$13, 100%, $E$13)</f>
        <v>6.7916999999999996</v>
      </c>
      <c r="G378" s="68">
        <f>6.7965 * CHOOSE(CONTROL!$C$22, $C$13, 100%, $E$13)</f>
        <v>6.7965</v>
      </c>
      <c r="H378" s="68">
        <f>10.4613* CHOOSE(CONTROL!$C$22, $C$13, 100%, $E$13)</f>
        <v>10.4613</v>
      </c>
      <c r="I378" s="68">
        <f>10.4661 * CHOOSE(CONTROL!$C$22, $C$13, 100%, $E$13)</f>
        <v>10.466100000000001</v>
      </c>
      <c r="J378" s="68">
        <f>6.7917 * CHOOSE(CONTROL!$C$22, $C$13, 100%, $E$13)</f>
        <v>6.7916999999999996</v>
      </c>
      <c r="K378" s="68">
        <f>6.7965 * CHOOSE(CONTROL!$C$22, $C$13, 100%, $E$13)</f>
        <v>6.7965</v>
      </c>
    </row>
    <row r="379" spans="1:11" ht="15">
      <c r="A379" s="13">
        <v>52657</v>
      </c>
      <c r="B379" s="67">
        <f>5.7042 * CHOOSE(CONTROL!$C$22, $C$13, 100%, $E$13)</f>
        <v>5.7042000000000002</v>
      </c>
      <c r="C379" s="67">
        <f>5.7042 * CHOOSE(CONTROL!$C$22, $C$13, 100%, $E$13)</f>
        <v>5.7042000000000002</v>
      </c>
      <c r="D379" s="67">
        <f>5.7081 * CHOOSE(CONTROL!$C$22, $C$13, 100%, $E$13)</f>
        <v>5.7081</v>
      </c>
      <c r="E379" s="68">
        <f>6.8763 * CHOOSE(CONTROL!$C$22, $C$13, 100%, $E$13)</f>
        <v>6.8762999999999996</v>
      </c>
      <c r="F379" s="68">
        <f>6.8763 * CHOOSE(CONTROL!$C$22, $C$13, 100%, $E$13)</f>
        <v>6.8762999999999996</v>
      </c>
      <c r="G379" s="68">
        <f>6.881 * CHOOSE(CONTROL!$C$22, $C$13, 100%, $E$13)</f>
        <v>6.8810000000000002</v>
      </c>
      <c r="H379" s="68">
        <f>10.4831* CHOOSE(CONTROL!$C$22, $C$13, 100%, $E$13)</f>
        <v>10.4831</v>
      </c>
      <c r="I379" s="68">
        <f>10.4879 * CHOOSE(CONTROL!$C$22, $C$13, 100%, $E$13)</f>
        <v>10.4879</v>
      </c>
      <c r="J379" s="68">
        <f>6.8763 * CHOOSE(CONTROL!$C$22, $C$13, 100%, $E$13)</f>
        <v>6.8762999999999996</v>
      </c>
      <c r="K379" s="68">
        <f>6.881 * CHOOSE(CONTROL!$C$22, $C$13, 100%, $E$13)</f>
        <v>6.8810000000000002</v>
      </c>
    </row>
    <row r="380" spans="1:11" ht="15">
      <c r="A380" s="13">
        <v>52688</v>
      </c>
      <c r="B380" s="67">
        <f>5.7034 * CHOOSE(CONTROL!$C$22, $C$13, 100%, $E$13)</f>
        <v>5.7034000000000002</v>
      </c>
      <c r="C380" s="67">
        <f>5.7034 * CHOOSE(CONTROL!$C$22, $C$13, 100%, $E$13)</f>
        <v>5.7034000000000002</v>
      </c>
      <c r="D380" s="67">
        <f>5.7072 * CHOOSE(CONTROL!$C$22, $C$13, 100%, $E$13)</f>
        <v>5.7072000000000003</v>
      </c>
      <c r="E380" s="68">
        <f>6.9651 * CHOOSE(CONTROL!$C$22, $C$13, 100%, $E$13)</f>
        <v>6.9650999999999996</v>
      </c>
      <c r="F380" s="68">
        <f>6.9651 * CHOOSE(CONTROL!$C$22, $C$13, 100%, $E$13)</f>
        <v>6.9650999999999996</v>
      </c>
      <c r="G380" s="68">
        <f>6.9699 * CHOOSE(CONTROL!$C$22, $C$13, 100%, $E$13)</f>
        <v>6.9699</v>
      </c>
      <c r="H380" s="68">
        <f>10.5049* CHOOSE(CONTROL!$C$22, $C$13, 100%, $E$13)</f>
        <v>10.504899999999999</v>
      </c>
      <c r="I380" s="68">
        <f>10.5097 * CHOOSE(CONTROL!$C$22, $C$13, 100%, $E$13)</f>
        <v>10.5097</v>
      </c>
      <c r="J380" s="68">
        <f>6.9651 * CHOOSE(CONTROL!$C$22, $C$13, 100%, $E$13)</f>
        <v>6.9650999999999996</v>
      </c>
      <c r="K380" s="68">
        <f>6.9699 * CHOOSE(CONTROL!$C$22, $C$13, 100%, $E$13)</f>
        <v>6.9699</v>
      </c>
    </row>
    <row r="381" spans="1:11" ht="15">
      <c r="A381" s="13">
        <v>52718</v>
      </c>
      <c r="B381" s="67">
        <f>5.7034 * CHOOSE(CONTROL!$C$22, $C$13, 100%, $E$13)</f>
        <v>5.7034000000000002</v>
      </c>
      <c r="C381" s="67">
        <f>5.7034 * CHOOSE(CONTROL!$C$22, $C$13, 100%, $E$13)</f>
        <v>5.7034000000000002</v>
      </c>
      <c r="D381" s="67">
        <f>5.7089 * CHOOSE(CONTROL!$C$22, $C$13, 100%, $E$13)</f>
        <v>5.7088999999999999</v>
      </c>
      <c r="E381" s="68">
        <f>7 * CHOOSE(CONTROL!$C$22, $C$13, 100%, $E$13)</f>
        <v>7</v>
      </c>
      <c r="F381" s="68">
        <f>7 * CHOOSE(CONTROL!$C$22, $C$13, 100%, $E$13)</f>
        <v>7</v>
      </c>
      <c r="G381" s="68">
        <f>7.0067 * CHOOSE(CONTROL!$C$22, $C$13, 100%, $E$13)</f>
        <v>7.0067000000000004</v>
      </c>
      <c r="H381" s="68">
        <f>10.5268* CHOOSE(CONTROL!$C$22, $C$13, 100%, $E$13)</f>
        <v>10.5268</v>
      </c>
      <c r="I381" s="68">
        <f>10.5336 * CHOOSE(CONTROL!$C$22, $C$13, 100%, $E$13)</f>
        <v>10.5336</v>
      </c>
      <c r="J381" s="68">
        <f>7 * CHOOSE(CONTROL!$C$22, $C$13, 100%, $E$13)</f>
        <v>7</v>
      </c>
      <c r="K381" s="68">
        <f>7.0067 * CHOOSE(CONTROL!$C$22, $C$13, 100%, $E$13)</f>
        <v>7.0067000000000004</v>
      </c>
    </row>
    <row r="382" spans="1:11" ht="15">
      <c r="A382" s="13">
        <v>52749</v>
      </c>
      <c r="B382" s="67">
        <f>5.7094 * CHOOSE(CONTROL!$C$22, $C$13, 100%, $E$13)</f>
        <v>5.7093999999999996</v>
      </c>
      <c r="C382" s="67">
        <f>5.7094 * CHOOSE(CONTROL!$C$22, $C$13, 100%, $E$13)</f>
        <v>5.7093999999999996</v>
      </c>
      <c r="D382" s="67">
        <f>5.7149 * CHOOSE(CONTROL!$C$22, $C$13, 100%, $E$13)</f>
        <v>5.7149000000000001</v>
      </c>
      <c r="E382" s="68">
        <f>6.9693 * CHOOSE(CONTROL!$C$22, $C$13, 100%, $E$13)</f>
        <v>6.9692999999999996</v>
      </c>
      <c r="F382" s="68">
        <f>6.9693 * CHOOSE(CONTROL!$C$22, $C$13, 100%, $E$13)</f>
        <v>6.9692999999999996</v>
      </c>
      <c r="G382" s="68">
        <f>6.9761 * CHOOSE(CONTROL!$C$22, $C$13, 100%, $E$13)</f>
        <v>6.9760999999999997</v>
      </c>
      <c r="H382" s="68">
        <f>10.5488* CHOOSE(CONTROL!$C$22, $C$13, 100%, $E$13)</f>
        <v>10.5488</v>
      </c>
      <c r="I382" s="68">
        <f>10.5555 * CHOOSE(CONTROL!$C$22, $C$13, 100%, $E$13)</f>
        <v>10.5555</v>
      </c>
      <c r="J382" s="68">
        <f>6.9693 * CHOOSE(CONTROL!$C$22, $C$13, 100%, $E$13)</f>
        <v>6.9692999999999996</v>
      </c>
      <c r="K382" s="68">
        <f>6.9761 * CHOOSE(CONTROL!$C$22, $C$13, 100%, $E$13)</f>
        <v>6.9760999999999997</v>
      </c>
    </row>
    <row r="383" spans="1:11" ht="15">
      <c r="A383" s="13">
        <v>52779</v>
      </c>
      <c r="B383" s="67">
        <f>5.8021 * CHOOSE(CONTROL!$C$22, $C$13, 100%, $E$13)</f>
        <v>5.8021000000000003</v>
      </c>
      <c r="C383" s="67">
        <f>5.8021 * CHOOSE(CONTROL!$C$22, $C$13, 100%, $E$13)</f>
        <v>5.8021000000000003</v>
      </c>
      <c r="D383" s="67">
        <f>5.8076 * CHOOSE(CONTROL!$C$22, $C$13, 100%, $E$13)</f>
        <v>5.8075999999999999</v>
      </c>
      <c r="E383" s="68">
        <f>7.0867 * CHOOSE(CONTROL!$C$22, $C$13, 100%, $E$13)</f>
        <v>7.0867000000000004</v>
      </c>
      <c r="F383" s="68">
        <f>7.0867 * CHOOSE(CONTROL!$C$22, $C$13, 100%, $E$13)</f>
        <v>7.0867000000000004</v>
      </c>
      <c r="G383" s="68">
        <f>7.0935 * CHOOSE(CONTROL!$C$22, $C$13, 100%, $E$13)</f>
        <v>7.0934999999999997</v>
      </c>
      <c r="H383" s="68">
        <f>10.5707* CHOOSE(CONTROL!$C$22, $C$13, 100%, $E$13)</f>
        <v>10.5707</v>
      </c>
      <c r="I383" s="68">
        <f>10.5775 * CHOOSE(CONTROL!$C$22, $C$13, 100%, $E$13)</f>
        <v>10.577500000000001</v>
      </c>
      <c r="J383" s="68">
        <f>7.0867 * CHOOSE(CONTROL!$C$22, $C$13, 100%, $E$13)</f>
        <v>7.0867000000000004</v>
      </c>
      <c r="K383" s="68">
        <f>7.0935 * CHOOSE(CONTROL!$C$22, $C$13, 100%, $E$13)</f>
        <v>7.0934999999999997</v>
      </c>
    </row>
    <row r="384" spans="1:11" ht="15">
      <c r="A384" s="13">
        <v>52810</v>
      </c>
      <c r="B384" s="67">
        <f>5.8088 * CHOOSE(CONTROL!$C$22, $C$13, 100%, $E$13)</f>
        <v>5.8087999999999997</v>
      </c>
      <c r="C384" s="67">
        <f>5.8088 * CHOOSE(CONTROL!$C$22, $C$13, 100%, $E$13)</f>
        <v>5.8087999999999997</v>
      </c>
      <c r="D384" s="67">
        <f>5.8143 * CHOOSE(CONTROL!$C$22, $C$13, 100%, $E$13)</f>
        <v>5.8143000000000002</v>
      </c>
      <c r="E384" s="68">
        <f>6.9867 * CHOOSE(CONTROL!$C$22, $C$13, 100%, $E$13)</f>
        <v>6.9866999999999999</v>
      </c>
      <c r="F384" s="68">
        <f>6.9867 * CHOOSE(CONTROL!$C$22, $C$13, 100%, $E$13)</f>
        <v>6.9866999999999999</v>
      </c>
      <c r="G384" s="68">
        <f>6.9934 * CHOOSE(CONTROL!$C$22, $C$13, 100%, $E$13)</f>
        <v>6.9934000000000003</v>
      </c>
      <c r="H384" s="68">
        <f>10.5928* CHOOSE(CONTROL!$C$22, $C$13, 100%, $E$13)</f>
        <v>10.5928</v>
      </c>
      <c r="I384" s="68">
        <f>10.5995 * CHOOSE(CONTROL!$C$22, $C$13, 100%, $E$13)</f>
        <v>10.599500000000001</v>
      </c>
      <c r="J384" s="68">
        <f>6.9867 * CHOOSE(CONTROL!$C$22, $C$13, 100%, $E$13)</f>
        <v>6.9866999999999999</v>
      </c>
      <c r="K384" s="68">
        <f>6.9934 * CHOOSE(CONTROL!$C$22, $C$13, 100%, $E$13)</f>
        <v>6.9934000000000003</v>
      </c>
    </row>
    <row r="385" spans="1:11" ht="15">
      <c r="A385" s="13">
        <v>52841</v>
      </c>
      <c r="B385" s="67">
        <f>5.8058 * CHOOSE(CONTROL!$C$22, $C$13, 100%, $E$13)</f>
        <v>5.8057999999999996</v>
      </c>
      <c r="C385" s="67">
        <f>5.8058 * CHOOSE(CONTROL!$C$22, $C$13, 100%, $E$13)</f>
        <v>5.8057999999999996</v>
      </c>
      <c r="D385" s="67">
        <f>5.8113 * CHOOSE(CONTROL!$C$22, $C$13, 100%, $E$13)</f>
        <v>5.8113000000000001</v>
      </c>
      <c r="E385" s="68">
        <f>6.9729 * CHOOSE(CONTROL!$C$22, $C$13, 100%, $E$13)</f>
        <v>6.9729000000000001</v>
      </c>
      <c r="F385" s="68">
        <f>6.9729 * CHOOSE(CONTROL!$C$22, $C$13, 100%, $E$13)</f>
        <v>6.9729000000000001</v>
      </c>
      <c r="G385" s="68">
        <f>6.9797 * CHOOSE(CONTROL!$C$22, $C$13, 100%, $E$13)</f>
        <v>6.9797000000000002</v>
      </c>
      <c r="H385" s="68">
        <f>10.6148* CHOOSE(CONTROL!$C$22, $C$13, 100%, $E$13)</f>
        <v>10.614800000000001</v>
      </c>
      <c r="I385" s="68">
        <f>10.6216 * CHOOSE(CONTROL!$C$22, $C$13, 100%, $E$13)</f>
        <v>10.621600000000001</v>
      </c>
      <c r="J385" s="68">
        <f>6.9729 * CHOOSE(CONTROL!$C$22, $C$13, 100%, $E$13)</f>
        <v>6.9729000000000001</v>
      </c>
      <c r="K385" s="68">
        <f>6.9797 * CHOOSE(CONTROL!$C$22, $C$13, 100%, $E$13)</f>
        <v>6.9797000000000002</v>
      </c>
    </row>
    <row r="386" spans="1:11" ht="15">
      <c r="A386" s="13">
        <v>52871</v>
      </c>
      <c r="B386" s="67">
        <f>5.8068 * CHOOSE(CONTROL!$C$22, $C$13, 100%, $E$13)</f>
        <v>5.8068</v>
      </c>
      <c r="C386" s="67">
        <f>5.8068 * CHOOSE(CONTROL!$C$22, $C$13, 100%, $E$13)</f>
        <v>5.8068</v>
      </c>
      <c r="D386" s="67">
        <f>5.8107 * CHOOSE(CONTROL!$C$22, $C$13, 100%, $E$13)</f>
        <v>5.8106999999999998</v>
      </c>
      <c r="E386" s="68">
        <f>7.0061 * CHOOSE(CONTROL!$C$22, $C$13, 100%, $E$13)</f>
        <v>7.0061</v>
      </c>
      <c r="F386" s="68">
        <f>7.0061 * CHOOSE(CONTROL!$C$22, $C$13, 100%, $E$13)</f>
        <v>7.0061</v>
      </c>
      <c r="G386" s="68">
        <f>7.0108 * CHOOSE(CONTROL!$C$22, $C$13, 100%, $E$13)</f>
        <v>7.0107999999999997</v>
      </c>
      <c r="H386" s="68">
        <f>10.6369* CHOOSE(CONTROL!$C$22, $C$13, 100%, $E$13)</f>
        <v>10.636900000000001</v>
      </c>
      <c r="I386" s="68">
        <f>10.6417 * CHOOSE(CONTROL!$C$22, $C$13, 100%, $E$13)</f>
        <v>10.6417</v>
      </c>
      <c r="J386" s="68">
        <f>7.0061 * CHOOSE(CONTROL!$C$22, $C$13, 100%, $E$13)</f>
        <v>7.0061</v>
      </c>
      <c r="K386" s="68">
        <f>7.0108 * CHOOSE(CONTROL!$C$22, $C$13, 100%, $E$13)</f>
        <v>7.0107999999999997</v>
      </c>
    </row>
    <row r="387" spans="1:11" ht="15">
      <c r="A387" s="13">
        <v>52902</v>
      </c>
      <c r="B387" s="67">
        <f>5.8099 * CHOOSE(CONTROL!$C$22, $C$13, 100%, $E$13)</f>
        <v>5.8098999999999998</v>
      </c>
      <c r="C387" s="67">
        <f>5.8099 * CHOOSE(CONTROL!$C$22, $C$13, 100%, $E$13)</f>
        <v>5.8098999999999998</v>
      </c>
      <c r="D387" s="67">
        <f>5.8137 * CHOOSE(CONTROL!$C$22, $C$13, 100%, $E$13)</f>
        <v>5.8136999999999999</v>
      </c>
      <c r="E387" s="68">
        <f>7.0314 * CHOOSE(CONTROL!$C$22, $C$13, 100%, $E$13)</f>
        <v>7.0313999999999997</v>
      </c>
      <c r="F387" s="68">
        <f>7.0314 * CHOOSE(CONTROL!$C$22, $C$13, 100%, $E$13)</f>
        <v>7.0313999999999997</v>
      </c>
      <c r="G387" s="68">
        <f>7.0362 * CHOOSE(CONTROL!$C$22, $C$13, 100%, $E$13)</f>
        <v>7.0362</v>
      </c>
      <c r="H387" s="68">
        <f>10.6591* CHOOSE(CONTROL!$C$22, $C$13, 100%, $E$13)</f>
        <v>10.6591</v>
      </c>
      <c r="I387" s="68">
        <f>10.6639 * CHOOSE(CONTROL!$C$22, $C$13, 100%, $E$13)</f>
        <v>10.6639</v>
      </c>
      <c r="J387" s="68">
        <f>7.0314 * CHOOSE(CONTROL!$C$22, $C$13, 100%, $E$13)</f>
        <v>7.0313999999999997</v>
      </c>
      <c r="K387" s="68">
        <f>7.0362 * CHOOSE(CONTROL!$C$22, $C$13, 100%, $E$13)</f>
        <v>7.0362</v>
      </c>
    </row>
    <row r="388" spans="1:11" ht="15">
      <c r="A388" s="13">
        <v>52932</v>
      </c>
      <c r="B388" s="67">
        <f>5.8099 * CHOOSE(CONTROL!$C$22, $C$13, 100%, $E$13)</f>
        <v>5.8098999999999998</v>
      </c>
      <c r="C388" s="67">
        <f>5.8099 * CHOOSE(CONTROL!$C$22, $C$13, 100%, $E$13)</f>
        <v>5.8098999999999998</v>
      </c>
      <c r="D388" s="67">
        <f>5.8137 * CHOOSE(CONTROL!$C$22, $C$13, 100%, $E$13)</f>
        <v>5.8136999999999999</v>
      </c>
      <c r="E388" s="68">
        <f>6.9733 * CHOOSE(CONTROL!$C$22, $C$13, 100%, $E$13)</f>
        <v>6.9733000000000001</v>
      </c>
      <c r="F388" s="68">
        <f>6.9733 * CHOOSE(CONTROL!$C$22, $C$13, 100%, $E$13)</f>
        <v>6.9733000000000001</v>
      </c>
      <c r="G388" s="68">
        <f>6.978 * CHOOSE(CONTROL!$C$22, $C$13, 100%, $E$13)</f>
        <v>6.9779999999999998</v>
      </c>
      <c r="H388" s="68">
        <f>10.6813* CHOOSE(CONTROL!$C$22, $C$13, 100%, $E$13)</f>
        <v>10.6813</v>
      </c>
      <c r="I388" s="68">
        <f>10.6861 * CHOOSE(CONTROL!$C$22, $C$13, 100%, $E$13)</f>
        <v>10.6861</v>
      </c>
      <c r="J388" s="68">
        <f>6.9733 * CHOOSE(CONTROL!$C$22, $C$13, 100%, $E$13)</f>
        <v>6.9733000000000001</v>
      </c>
      <c r="K388" s="68">
        <f>6.978 * CHOOSE(CONTROL!$C$22, $C$13, 100%, $E$13)</f>
        <v>6.9779999999999998</v>
      </c>
    </row>
    <row r="389" spans="1:11" ht="15">
      <c r="A389" s="13">
        <v>52963</v>
      </c>
      <c r="B389" s="67">
        <f>5.8609 * CHOOSE(CONTROL!$C$22, $C$13, 100%, $E$13)</f>
        <v>5.8609</v>
      </c>
      <c r="C389" s="67">
        <f>5.8609 * CHOOSE(CONTROL!$C$22, $C$13, 100%, $E$13)</f>
        <v>5.8609</v>
      </c>
      <c r="D389" s="67">
        <f>5.8648 * CHOOSE(CONTROL!$C$22, $C$13, 100%, $E$13)</f>
        <v>5.8647999999999998</v>
      </c>
      <c r="E389" s="68">
        <f>7.0724 * CHOOSE(CONTROL!$C$22, $C$13, 100%, $E$13)</f>
        <v>7.0724</v>
      </c>
      <c r="F389" s="68">
        <f>7.0724 * CHOOSE(CONTROL!$C$22, $C$13, 100%, $E$13)</f>
        <v>7.0724</v>
      </c>
      <c r="G389" s="68">
        <f>7.0772 * CHOOSE(CONTROL!$C$22, $C$13, 100%, $E$13)</f>
        <v>7.0772000000000004</v>
      </c>
      <c r="H389" s="68">
        <f>10.7036* CHOOSE(CONTROL!$C$22, $C$13, 100%, $E$13)</f>
        <v>10.7036</v>
      </c>
      <c r="I389" s="68">
        <f>10.7083 * CHOOSE(CONTROL!$C$22, $C$13, 100%, $E$13)</f>
        <v>10.708299999999999</v>
      </c>
      <c r="J389" s="68">
        <f>7.0724 * CHOOSE(CONTROL!$C$22, $C$13, 100%, $E$13)</f>
        <v>7.0724</v>
      </c>
      <c r="K389" s="68">
        <f>7.0772 * CHOOSE(CONTROL!$C$22, $C$13, 100%, $E$13)</f>
        <v>7.0772000000000004</v>
      </c>
    </row>
    <row r="390" spans="1:11" ht="15">
      <c r="A390" s="13">
        <v>52994</v>
      </c>
      <c r="B390" s="67">
        <f>5.8579 * CHOOSE(CONTROL!$C$22, $C$13, 100%, $E$13)</f>
        <v>5.8578999999999999</v>
      </c>
      <c r="C390" s="67">
        <f>5.8579 * CHOOSE(CONTROL!$C$22, $C$13, 100%, $E$13)</f>
        <v>5.8578999999999999</v>
      </c>
      <c r="D390" s="67">
        <f>5.8618 * CHOOSE(CONTROL!$C$22, $C$13, 100%, $E$13)</f>
        <v>5.8617999999999997</v>
      </c>
      <c r="E390" s="68">
        <f>6.9573 * CHOOSE(CONTROL!$C$22, $C$13, 100%, $E$13)</f>
        <v>6.9573</v>
      </c>
      <c r="F390" s="68">
        <f>6.9573 * CHOOSE(CONTROL!$C$22, $C$13, 100%, $E$13)</f>
        <v>6.9573</v>
      </c>
      <c r="G390" s="68">
        <f>6.9621 * CHOOSE(CONTROL!$C$22, $C$13, 100%, $E$13)</f>
        <v>6.9621000000000004</v>
      </c>
      <c r="H390" s="68">
        <f>10.7259* CHOOSE(CONTROL!$C$22, $C$13, 100%, $E$13)</f>
        <v>10.725899999999999</v>
      </c>
      <c r="I390" s="68">
        <f>10.7306 * CHOOSE(CONTROL!$C$22, $C$13, 100%, $E$13)</f>
        <v>10.730600000000001</v>
      </c>
      <c r="J390" s="68">
        <f>6.9573 * CHOOSE(CONTROL!$C$22, $C$13, 100%, $E$13)</f>
        <v>6.9573</v>
      </c>
      <c r="K390" s="68">
        <f>6.9621 * CHOOSE(CONTROL!$C$22, $C$13, 100%, $E$13)</f>
        <v>6.9621000000000004</v>
      </c>
    </row>
    <row r="391" spans="1:11" ht="15">
      <c r="A391" s="13">
        <v>53022</v>
      </c>
      <c r="B391" s="67">
        <f>5.8548 * CHOOSE(CONTROL!$C$22, $C$13, 100%, $E$13)</f>
        <v>5.8548</v>
      </c>
      <c r="C391" s="67">
        <f>5.8548 * CHOOSE(CONTROL!$C$22, $C$13, 100%, $E$13)</f>
        <v>5.8548</v>
      </c>
      <c r="D391" s="67">
        <f>5.8587 * CHOOSE(CONTROL!$C$22, $C$13, 100%, $E$13)</f>
        <v>5.8586999999999998</v>
      </c>
      <c r="E391" s="68">
        <f>7.0443 * CHOOSE(CONTROL!$C$22, $C$13, 100%, $E$13)</f>
        <v>7.0442999999999998</v>
      </c>
      <c r="F391" s="68">
        <f>7.0443 * CHOOSE(CONTROL!$C$22, $C$13, 100%, $E$13)</f>
        <v>7.0442999999999998</v>
      </c>
      <c r="G391" s="68">
        <f>7.049 * CHOOSE(CONTROL!$C$22, $C$13, 100%, $E$13)</f>
        <v>7.0490000000000004</v>
      </c>
      <c r="H391" s="68">
        <f>10.7482* CHOOSE(CONTROL!$C$22, $C$13, 100%, $E$13)</f>
        <v>10.748200000000001</v>
      </c>
      <c r="I391" s="68">
        <f>10.753 * CHOOSE(CONTROL!$C$22, $C$13, 100%, $E$13)</f>
        <v>10.753</v>
      </c>
      <c r="J391" s="68">
        <f>7.0443 * CHOOSE(CONTROL!$C$22, $C$13, 100%, $E$13)</f>
        <v>7.0442999999999998</v>
      </c>
      <c r="K391" s="68">
        <f>7.049 * CHOOSE(CONTROL!$C$22, $C$13, 100%, $E$13)</f>
        <v>7.0490000000000004</v>
      </c>
    </row>
    <row r="392" spans="1:11" ht="15">
      <c r="A392" s="13">
        <v>53053</v>
      </c>
      <c r="B392" s="67">
        <f>5.8541 * CHOOSE(CONTROL!$C$22, $C$13, 100%, $E$13)</f>
        <v>5.8540999999999999</v>
      </c>
      <c r="C392" s="67">
        <f>5.8541 * CHOOSE(CONTROL!$C$22, $C$13, 100%, $E$13)</f>
        <v>5.8540999999999999</v>
      </c>
      <c r="D392" s="67">
        <f>5.858 * CHOOSE(CONTROL!$C$22, $C$13, 100%, $E$13)</f>
        <v>5.8579999999999997</v>
      </c>
      <c r="E392" s="68">
        <f>7.1357 * CHOOSE(CONTROL!$C$22, $C$13, 100%, $E$13)</f>
        <v>7.1356999999999999</v>
      </c>
      <c r="F392" s="68">
        <f>7.1357 * CHOOSE(CONTROL!$C$22, $C$13, 100%, $E$13)</f>
        <v>7.1356999999999999</v>
      </c>
      <c r="G392" s="68">
        <f>7.1405 * CHOOSE(CONTROL!$C$22, $C$13, 100%, $E$13)</f>
        <v>7.1405000000000003</v>
      </c>
      <c r="H392" s="68">
        <f>10.7706* CHOOSE(CONTROL!$C$22, $C$13, 100%, $E$13)</f>
        <v>10.7706</v>
      </c>
      <c r="I392" s="68">
        <f>10.7754 * CHOOSE(CONTROL!$C$22, $C$13, 100%, $E$13)</f>
        <v>10.775399999999999</v>
      </c>
      <c r="J392" s="68">
        <f>7.1357 * CHOOSE(CONTROL!$C$22, $C$13, 100%, $E$13)</f>
        <v>7.1356999999999999</v>
      </c>
      <c r="K392" s="68">
        <f>7.1405 * CHOOSE(CONTROL!$C$22, $C$13, 100%, $E$13)</f>
        <v>7.1405000000000003</v>
      </c>
    </row>
    <row r="393" spans="1:11" ht="15">
      <c r="A393" s="13">
        <v>53083</v>
      </c>
      <c r="B393" s="67">
        <f>5.8541 * CHOOSE(CONTROL!$C$22, $C$13, 100%, $E$13)</f>
        <v>5.8540999999999999</v>
      </c>
      <c r="C393" s="67">
        <f>5.8541 * CHOOSE(CONTROL!$C$22, $C$13, 100%, $E$13)</f>
        <v>5.8540999999999999</v>
      </c>
      <c r="D393" s="67">
        <f>5.8596 * CHOOSE(CONTROL!$C$22, $C$13, 100%, $E$13)</f>
        <v>5.8596000000000004</v>
      </c>
      <c r="E393" s="68">
        <f>7.1716 * CHOOSE(CONTROL!$C$22, $C$13, 100%, $E$13)</f>
        <v>7.1715999999999998</v>
      </c>
      <c r="F393" s="68">
        <f>7.1716 * CHOOSE(CONTROL!$C$22, $C$13, 100%, $E$13)</f>
        <v>7.1715999999999998</v>
      </c>
      <c r="G393" s="68">
        <f>7.1783 * CHOOSE(CONTROL!$C$22, $C$13, 100%, $E$13)</f>
        <v>7.1783000000000001</v>
      </c>
      <c r="H393" s="68">
        <f>10.793* CHOOSE(CONTROL!$C$22, $C$13, 100%, $E$13)</f>
        <v>10.792999999999999</v>
      </c>
      <c r="I393" s="68">
        <f>10.7998 * CHOOSE(CONTROL!$C$22, $C$13, 100%, $E$13)</f>
        <v>10.799799999999999</v>
      </c>
      <c r="J393" s="68">
        <f>7.1716 * CHOOSE(CONTROL!$C$22, $C$13, 100%, $E$13)</f>
        <v>7.1715999999999998</v>
      </c>
      <c r="K393" s="68">
        <f>7.1783 * CHOOSE(CONTROL!$C$22, $C$13, 100%, $E$13)</f>
        <v>7.1783000000000001</v>
      </c>
    </row>
    <row r="394" spans="1:11" ht="15">
      <c r="A394" s="13">
        <v>53114</v>
      </c>
      <c r="B394" s="67">
        <f>5.8602 * CHOOSE(CONTROL!$C$22, $C$13, 100%, $E$13)</f>
        <v>5.8601999999999999</v>
      </c>
      <c r="C394" s="67">
        <f>5.8602 * CHOOSE(CONTROL!$C$22, $C$13, 100%, $E$13)</f>
        <v>5.8601999999999999</v>
      </c>
      <c r="D394" s="67">
        <f>5.8657 * CHOOSE(CONTROL!$C$22, $C$13, 100%, $E$13)</f>
        <v>5.8657000000000004</v>
      </c>
      <c r="E394" s="68">
        <f>7.1399 * CHOOSE(CONTROL!$C$22, $C$13, 100%, $E$13)</f>
        <v>7.1398999999999999</v>
      </c>
      <c r="F394" s="68">
        <f>7.1399 * CHOOSE(CONTROL!$C$22, $C$13, 100%, $E$13)</f>
        <v>7.1398999999999999</v>
      </c>
      <c r="G394" s="68">
        <f>7.1467 * CHOOSE(CONTROL!$C$22, $C$13, 100%, $E$13)</f>
        <v>7.1467000000000001</v>
      </c>
      <c r="H394" s="68">
        <f>10.8155* CHOOSE(CONTROL!$C$22, $C$13, 100%, $E$13)</f>
        <v>10.8155</v>
      </c>
      <c r="I394" s="68">
        <f>10.8223 * CHOOSE(CONTROL!$C$22, $C$13, 100%, $E$13)</f>
        <v>10.8223</v>
      </c>
      <c r="J394" s="68">
        <f>7.1399 * CHOOSE(CONTROL!$C$22, $C$13, 100%, $E$13)</f>
        <v>7.1398999999999999</v>
      </c>
      <c r="K394" s="68">
        <f>7.1467 * CHOOSE(CONTROL!$C$22, $C$13, 100%, $E$13)</f>
        <v>7.1467000000000001</v>
      </c>
    </row>
    <row r="395" spans="1:11" ht="15">
      <c r="A395" s="13">
        <v>53144</v>
      </c>
      <c r="B395" s="67">
        <f>5.955 * CHOOSE(CONTROL!$C$22, $C$13, 100%, $E$13)</f>
        <v>5.9550000000000001</v>
      </c>
      <c r="C395" s="67">
        <f>5.955 * CHOOSE(CONTROL!$C$22, $C$13, 100%, $E$13)</f>
        <v>5.9550000000000001</v>
      </c>
      <c r="D395" s="67">
        <f>5.9605 * CHOOSE(CONTROL!$C$22, $C$13, 100%, $E$13)</f>
        <v>5.9604999999999997</v>
      </c>
      <c r="E395" s="68">
        <f>7.2599 * CHOOSE(CONTROL!$C$22, $C$13, 100%, $E$13)</f>
        <v>7.2599</v>
      </c>
      <c r="F395" s="68">
        <f>7.2599 * CHOOSE(CONTROL!$C$22, $C$13, 100%, $E$13)</f>
        <v>7.2599</v>
      </c>
      <c r="G395" s="68">
        <f>7.2666 * CHOOSE(CONTROL!$C$22, $C$13, 100%, $E$13)</f>
        <v>7.2666000000000004</v>
      </c>
      <c r="H395" s="68">
        <f>10.838* CHOOSE(CONTROL!$C$22, $C$13, 100%, $E$13)</f>
        <v>10.837999999999999</v>
      </c>
      <c r="I395" s="68">
        <f>10.8448 * CHOOSE(CONTROL!$C$22, $C$13, 100%, $E$13)</f>
        <v>10.844799999999999</v>
      </c>
      <c r="J395" s="68">
        <f>7.2599 * CHOOSE(CONTROL!$C$22, $C$13, 100%, $E$13)</f>
        <v>7.2599</v>
      </c>
      <c r="K395" s="68">
        <f>7.2666 * CHOOSE(CONTROL!$C$22, $C$13, 100%, $E$13)</f>
        <v>7.2666000000000004</v>
      </c>
    </row>
    <row r="396" spans="1:11" ht="15">
      <c r="A396" s="13">
        <v>53175</v>
      </c>
      <c r="B396" s="67">
        <f>5.9617 * CHOOSE(CONTROL!$C$22, $C$13, 100%, $E$13)</f>
        <v>5.9617000000000004</v>
      </c>
      <c r="C396" s="67">
        <f>5.9617 * CHOOSE(CONTROL!$C$22, $C$13, 100%, $E$13)</f>
        <v>5.9617000000000004</v>
      </c>
      <c r="D396" s="67">
        <f>5.9672 * CHOOSE(CONTROL!$C$22, $C$13, 100%, $E$13)</f>
        <v>5.9672000000000001</v>
      </c>
      <c r="E396" s="68">
        <f>7.1569 * CHOOSE(CONTROL!$C$22, $C$13, 100%, $E$13)</f>
        <v>7.1569000000000003</v>
      </c>
      <c r="F396" s="68">
        <f>7.1569 * CHOOSE(CONTROL!$C$22, $C$13, 100%, $E$13)</f>
        <v>7.1569000000000003</v>
      </c>
      <c r="G396" s="68">
        <f>7.1637 * CHOOSE(CONTROL!$C$22, $C$13, 100%, $E$13)</f>
        <v>7.1637000000000004</v>
      </c>
      <c r="H396" s="68">
        <f>10.8606* CHOOSE(CONTROL!$C$22, $C$13, 100%, $E$13)</f>
        <v>10.8606</v>
      </c>
      <c r="I396" s="68">
        <f>10.8674 * CHOOSE(CONTROL!$C$22, $C$13, 100%, $E$13)</f>
        <v>10.8674</v>
      </c>
      <c r="J396" s="68">
        <f>7.1569 * CHOOSE(CONTROL!$C$22, $C$13, 100%, $E$13)</f>
        <v>7.1569000000000003</v>
      </c>
      <c r="K396" s="68">
        <f>7.1637 * CHOOSE(CONTROL!$C$22, $C$13, 100%, $E$13)</f>
        <v>7.1637000000000004</v>
      </c>
    </row>
    <row r="397" spans="1:11" ht="15">
      <c r="A397" s="13">
        <v>53206</v>
      </c>
      <c r="B397" s="67">
        <f>5.9586 * CHOOSE(CONTROL!$C$22, $C$13, 100%, $E$13)</f>
        <v>5.9585999999999997</v>
      </c>
      <c r="C397" s="67">
        <f>5.9586 * CHOOSE(CONTROL!$C$22, $C$13, 100%, $E$13)</f>
        <v>5.9585999999999997</v>
      </c>
      <c r="D397" s="67">
        <f>5.9641 * CHOOSE(CONTROL!$C$22, $C$13, 100%, $E$13)</f>
        <v>5.9641000000000002</v>
      </c>
      <c r="E397" s="68">
        <f>7.1429 * CHOOSE(CONTROL!$C$22, $C$13, 100%, $E$13)</f>
        <v>7.1429</v>
      </c>
      <c r="F397" s="68">
        <f>7.1429 * CHOOSE(CONTROL!$C$22, $C$13, 100%, $E$13)</f>
        <v>7.1429</v>
      </c>
      <c r="G397" s="68">
        <f>7.1496 * CHOOSE(CONTROL!$C$22, $C$13, 100%, $E$13)</f>
        <v>7.1496000000000004</v>
      </c>
      <c r="H397" s="68">
        <f>10.8833* CHOOSE(CONTROL!$C$22, $C$13, 100%, $E$13)</f>
        <v>10.8833</v>
      </c>
      <c r="I397" s="68">
        <f>10.89 * CHOOSE(CONTROL!$C$22, $C$13, 100%, $E$13)</f>
        <v>10.89</v>
      </c>
      <c r="J397" s="68">
        <f>7.1429 * CHOOSE(CONTROL!$C$22, $C$13, 100%, $E$13)</f>
        <v>7.1429</v>
      </c>
      <c r="K397" s="68">
        <f>7.1496 * CHOOSE(CONTROL!$C$22, $C$13, 100%, $E$13)</f>
        <v>7.1496000000000004</v>
      </c>
    </row>
    <row r="398" spans="1:11" ht="15">
      <c r="A398" s="13">
        <v>53236</v>
      </c>
      <c r="B398" s="67">
        <f>5.9602 * CHOOSE(CONTROL!$C$22, $C$13, 100%, $E$13)</f>
        <v>5.9602000000000004</v>
      </c>
      <c r="C398" s="67">
        <f>5.9602 * CHOOSE(CONTROL!$C$22, $C$13, 100%, $E$13)</f>
        <v>5.9602000000000004</v>
      </c>
      <c r="D398" s="67">
        <f>5.9641 * CHOOSE(CONTROL!$C$22, $C$13, 100%, $E$13)</f>
        <v>5.9641000000000002</v>
      </c>
      <c r="E398" s="68">
        <f>7.1773 * CHOOSE(CONTROL!$C$22, $C$13, 100%, $E$13)</f>
        <v>7.1772999999999998</v>
      </c>
      <c r="F398" s="68">
        <f>7.1773 * CHOOSE(CONTROL!$C$22, $C$13, 100%, $E$13)</f>
        <v>7.1772999999999998</v>
      </c>
      <c r="G398" s="68">
        <f>7.182 * CHOOSE(CONTROL!$C$22, $C$13, 100%, $E$13)</f>
        <v>7.1820000000000004</v>
      </c>
      <c r="H398" s="68">
        <f>10.9059* CHOOSE(CONTROL!$C$22, $C$13, 100%, $E$13)</f>
        <v>10.905900000000001</v>
      </c>
      <c r="I398" s="68">
        <f>10.9107 * CHOOSE(CONTROL!$C$22, $C$13, 100%, $E$13)</f>
        <v>10.9107</v>
      </c>
      <c r="J398" s="68">
        <f>7.1773 * CHOOSE(CONTROL!$C$22, $C$13, 100%, $E$13)</f>
        <v>7.1772999999999998</v>
      </c>
      <c r="K398" s="68">
        <f>7.182 * CHOOSE(CONTROL!$C$22, $C$13, 100%, $E$13)</f>
        <v>7.1820000000000004</v>
      </c>
    </row>
    <row r="399" spans="1:11" ht="15">
      <c r="A399" s="13">
        <v>53267</v>
      </c>
      <c r="B399" s="67">
        <f>5.9632 * CHOOSE(CONTROL!$C$22, $C$13, 100%, $E$13)</f>
        <v>5.9631999999999996</v>
      </c>
      <c r="C399" s="67">
        <f>5.9632 * CHOOSE(CONTROL!$C$22, $C$13, 100%, $E$13)</f>
        <v>5.9631999999999996</v>
      </c>
      <c r="D399" s="67">
        <f>5.9671 * CHOOSE(CONTROL!$C$22, $C$13, 100%, $E$13)</f>
        <v>5.9671000000000003</v>
      </c>
      <c r="E399" s="68">
        <f>7.2033 * CHOOSE(CONTROL!$C$22, $C$13, 100%, $E$13)</f>
        <v>7.2032999999999996</v>
      </c>
      <c r="F399" s="68">
        <f>7.2033 * CHOOSE(CONTROL!$C$22, $C$13, 100%, $E$13)</f>
        <v>7.2032999999999996</v>
      </c>
      <c r="G399" s="68">
        <f>7.2081 * CHOOSE(CONTROL!$C$22, $C$13, 100%, $E$13)</f>
        <v>7.2081</v>
      </c>
      <c r="H399" s="68">
        <f>10.9286* CHOOSE(CONTROL!$C$22, $C$13, 100%, $E$13)</f>
        <v>10.928599999999999</v>
      </c>
      <c r="I399" s="68">
        <f>10.9334 * CHOOSE(CONTROL!$C$22, $C$13, 100%, $E$13)</f>
        <v>10.933400000000001</v>
      </c>
      <c r="J399" s="68">
        <f>7.2033 * CHOOSE(CONTROL!$C$22, $C$13, 100%, $E$13)</f>
        <v>7.2032999999999996</v>
      </c>
      <c r="K399" s="68">
        <f>7.2081 * CHOOSE(CONTROL!$C$22, $C$13, 100%, $E$13)</f>
        <v>7.2081</v>
      </c>
    </row>
    <row r="400" spans="1:11" ht="15">
      <c r="A400" s="13">
        <v>53297</v>
      </c>
      <c r="B400" s="67">
        <f>5.9632 * CHOOSE(CONTROL!$C$22, $C$13, 100%, $E$13)</f>
        <v>5.9631999999999996</v>
      </c>
      <c r="C400" s="67">
        <f>5.9632 * CHOOSE(CONTROL!$C$22, $C$13, 100%, $E$13)</f>
        <v>5.9631999999999996</v>
      </c>
      <c r="D400" s="67">
        <f>5.9671 * CHOOSE(CONTROL!$C$22, $C$13, 100%, $E$13)</f>
        <v>5.9671000000000003</v>
      </c>
      <c r="E400" s="68">
        <f>7.1435 * CHOOSE(CONTROL!$C$22, $C$13, 100%, $E$13)</f>
        <v>7.1435000000000004</v>
      </c>
      <c r="F400" s="68">
        <f>7.1435 * CHOOSE(CONTROL!$C$22, $C$13, 100%, $E$13)</f>
        <v>7.1435000000000004</v>
      </c>
      <c r="G400" s="68">
        <f>7.1483 * CHOOSE(CONTROL!$C$22, $C$13, 100%, $E$13)</f>
        <v>7.1482999999999999</v>
      </c>
      <c r="H400" s="68">
        <f>10.9514* CHOOSE(CONTROL!$C$22, $C$13, 100%, $E$13)</f>
        <v>10.9514</v>
      </c>
      <c r="I400" s="68">
        <f>10.9562 * CHOOSE(CONTROL!$C$22, $C$13, 100%, $E$13)</f>
        <v>10.956200000000001</v>
      </c>
      <c r="J400" s="68">
        <f>7.1435 * CHOOSE(CONTROL!$C$22, $C$13, 100%, $E$13)</f>
        <v>7.1435000000000004</v>
      </c>
      <c r="K400" s="68">
        <f>7.1483 * CHOOSE(CONTROL!$C$22, $C$13, 100%, $E$13)</f>
        <v>7.1482999999999999</v>
      </c>
    </row>
    <row r="401" spans="1:11" ht="15">
      <c r="A401" s="13">
        <v>53328</v>
      </c>
      <c r="B401" s="67">
        <f>6.0155 * CHOOSE(CONTROL!$C$22, $C$13, 100%, $E$13)</f>
        <v>6.0155000000000003</v>
      </c>
      <c r="C401" s="67">
        <f>6.0155 * CHOOSE(CONTROL!$C$22, $C$13, 100%, $E$13)</f>
        <v>6.0155000000000003</v>
      </c>
      <c r="D401" s="67">
        <f>6.0194 * CHOOSE(CONTROL!$C$22, $C$13, 100%, $E$13)</f>
        <v>6.0194000000000001</v>
      </c>
      <c r="E401" s="68">
        <f>7.2452 * CHOOSE(CONTROL!$C$22, $C$13, 100%, $E$13)</f>
        <v>7.2451999999999996</v>
      </c>
      <c r="F401" s="68">
        <f>7.2452 * CHOOSE(CONTROL!$C$22, $C$13, 100%, $E$13)</f>
        <v>7.2451999999999996</v>
      </c>
      <c r="G401" s="68">
        <f>7.25 * CHOOSE(CONTROL!$C$22, $C$13, 100%, $E$13)</f>
        <v>7.25</v>
      </c>
      <c r="H401" s="68">
        <f>10.9742* CHOOSE(CONTROL!$C$22, $C$13, 100%, $E$13)</f>
        <v>10.9742</v>
      </c>
      <c r="I401" s="68">
        <f>10.979 * CHOOSE(CONTROL!$C$22, $C$13, 100%, $E$13)</f>
        <v>10.978999999999999</v>
      </c>
      <c r="J401" s="68">
        <f>7.2452 * CHOOSE(CONTROL!$C$22, $C$13, 100%, $E$13)</f>
        <v>7.2451999999999996</v>
      </c>
      <c r="K401" s="68">
        <f>7.25 * CHOOSE(CONTROL!$C$22, $C$13, 100%, $E$13)</f>
        <v>7.25</v>
      </c>
    </row>
    <row r="402" spans="1:11" ht="15">
      <c r="A402" s="13">
        <v>53359</v>
      </c>
      <c r="B402" s="67">
        <f>6.0125 * CHOOSE(CONTROL!$C$22, $C$13, 100%, $E$13)</f>
        <v>6.0125000000000002</v>
      </c>
      <c r="C402" s="67">
        <f>6.0125 * CHOOSE(CONTROL!$C$22, $C$13, 100%, $E$13)</f>
        <v>6.0125000000000002</v>
      </c>
      <c r="D402" s="67">
        <f>6.0163 * CHOOSE(CONTROL!$C$22, $C$13, 100%, $E$13)</f>
        <v>6.0163000000000002</v>
      </c>
      <c r="E402" s="68">
        <f>7.1269 * CHOOSE(CONTROL!$C$22, $C$13, 100%, $E$13)</f>
        <v>7.1269</v>
      </c>
      <c r="F402" s="68">
        <f>7.1269 * CHOOSE(CONTROL!$C$22, $C$13, 100%, $E$13)</f>
        <v>7.1269</v>
      </c>
      <c r="G402" s="68">
        <f>7.1317 * CHOOSE(CONTROL!$C$22, $C$13, 100%, $E$13)</f>
        <v>7.1317000000000004</v>
      </c>
      <c r="H402" s="68">
        <f>10.9971* CHOOSE(CONTROL!$C$22, $C$13, 100%, $E$13)</f>
        <v>10.9971</v>
      </c>
      <c r="I402" s="68">
        <f>11.0019 * CHOOSE(CONTROL!$C$22, $C$13, 100%, $E$13)</f>
        <v>11.001899999999999</v>
      </c>
      <c r="J402" s="68">
        <f>7.1269 * CHOOSE(CONTROL!$C$22, $C$13, 100%, $E$13)</f>
        <v>7.1269</v>
      </c>
      <c r="K402" s="68">
        <f>7.1317 * CHOOSE(CONTROL!$C$22, $C$13, 100%, $E$13)</f>
        <v>7.1317000000000004</v>
      </c>
    </row>
    <row r="403" spans="1:11" ht="15">
      <c r="A403" s="13">
        <v>53387</v>
      </c>
      <c r="B403" s="67">
        <f>6.0094 * CHOOSE(CONTROL!$C$22, $C$13, 100%, $E$13)</f>
        <v>6.0094000000000003</v>
      </c>
      <c r="C403" s="67">
        <f>6.0094 * CHOOSE(CONTROL!$C$22, $C$13, 100%, $E$13)</f>
        <v>6.0094000000000003</v>
      </c>
      <c r="D403" s="67">
        <f>6.0133 * CHOOSE(CONTROL!$C$22, $C$13, 100%, $E$13)</f>
        <v>6.0133000000000001</v>
      </c>
      <c r="E403" s="68">
        <f>7.2164 * CHOOSE(CONTROL!$C$22, $C$13, 100%, $E$13)</f>
        <v>7.2164000000000001</v>
      </c>
      <c r="F403" s="68">
        <f>7.2164 * CHOOSE(CONTROL!$C$22, $C$13, 100%, $E$13)</f>
        <v>7.2164000000000001</v>
      </c>
      <c r="G403" s="68">
        <f>7.2211 * CHOOSE(CONTROL!$C$22, $C$13, 100%, $E$13)</f>
        <v>7.2210999999999999</v>
      </c>
      <c r="H403" s="68">
        <f>11.02* CHOOSE(CONTROL!$C$22, $C$13, 100%, $E$13)</f>
        <v>11.02</v>
      </c>
      <c r="I403" s="68">
        <f>11.0248 * CHOOSE(CONTROL!$C$22, $C$13, 100%, $E$13)</f>
        <v>11.024800000000001</v>
      </c>
      <c r="J403" s="68">
        <f>7.2164 * CHOOSE(CONTROL!$C$22, $C$13, 100%, $E$13)</f>
        <v>7.2164000000000001</v>
      </c>
      <c r="K403" s="68">
        <f>7.2211 * CHOOSE(CONTROL!$C$22, $C$13, 100%, $E$13)</f>
        <v>7.2210999999999999</v>
      </c>
    </row>
    <row r="404" spans="1:11" ht="15">
      <c r="A404" s="13">
        <v>53418</v>
      </c>
      <c r="B404" s="67">
        <f>6.0088 * CHOOSE(CONTROL!$C$22, $C$13, 100%, $E$13)</f>
        <v>6.0087999999999999</v>
      </c>
      <c r="C404" s="67">
        <f>6.0088 * CHOOSE(CONTROL!$C$22, $C$13, 100%, $E$13)</f>
        <v>6.0087999999999999</v>
      </c>
      <c r="D404" s="67">
        <f>6.0127 * CHOOSE(CONTROL!$C$22, $C$13, 100%, $E$13)</f>
        <v>6.0126999999999997</v>
      </c>
      <c r="E404" s="68">
        <f>7.3105 * CHOOSE(CONTROL!$C$22, $C$13, 100%, $E$13)</f>
        <v>7.3105000000000002</v>
      </c>
      <c r="F404" s="68">
        <f>7.3105 * CHOOSE(CONTROL!$C$22, $C$13, 100%, $E$13)</f>
        <v>7.3105000000000002</v>
      </c>
      <c r="G404" s="68">
        <f>7.3152 * CHOOSE(CONTROL!$C$22, $C$13, 100%, $E$13)</f>
        <v>7.3151999999999999</v>
      </c>
      <c r="H404" s="68">
        <f>11.043* CHOOSE(CONTROL!$C$22, $C$13, 100%, $E$13)</f>
        <v>11.042999999999999</v>
      </c>
      <c r="I404" s="68">
        <f>11.0477 * CHOOSE(CONTROL!$C$22, $C$13, 100%, $E$13)</f>
        <v>11.047700000000001</v>
      </c>
      <c r="J404" s="68">
        <f>7.3105 * CHOOSE(CONTROL!$C$22, $C$13, 100%, $E$13)</f>
        <v>7.3105000000000002</v>
      </c>
      <c r="K404" s="68">
        <f>7.3152 * CHOOSE(CONTROL!$C$22, $C$13, 100%, $E$13)</f>
        <v>7.3151999999999999</v>
      </c>
    </row>
    <row r="405" spans="1:11" ht="15">
      <c r="A405" s="13">
        <v>53448</v>
      </c>
      <c r="B405" s="67">
        <f>6.0088 * CHOOSE(CONTROL!$C$22, $C$13, 100%, $E$13)</f>
        <v>6.0087999999999999</v>
      </c>
      <c r="C405" s="67">
        <f>6.0088 * CHOOSE(CONTROL!$C$22, $C$13, 100%, $E$13)</f>
        <v>6.0087999999999999</v>
      </c>
      <c r="D405" s="67">
        <f>6.0143 * CHOOSE(CONTROL!$C$22, $C$13, 100%, $E$13)</f>
        <v>6.0143000000000004</v>
      </c>
      <c r="E405" s="68">
        <f>7.3474 * CHOOSE(CONTROL!$C$22, $C$13, 100%, $E$13)</f>
        <v>7.3474000000000004</v>
      </c>
      <c r="F405" s="68">
        <f>7.3474 * CHOOSE(CONTROL!$C$22, $C$13, 100%, $E$13)</f>
        <v>7.3474000000000004</v>
      </c>
      <c r="G405" s="68">
        <f>7.3541 * CHOOSE(CONTROL!$C$22, $C$13, 100%, $E$13)</f>
        <v>7.3540999999999999</v>
      </c>
      <c r="H405" s="68">
        <f>11.066* CHOOSE(CONTROL!$C$22, $C$13, 100%, $E$13)</f>
        <v>11.066000000000001</v>
      </c>
      <c r="I405" s="68">
        <f>11.0727 * CHOOSE(CONTROL!$C$22, $C$13, 100%, $E$13)</f>
        <v>11.072699999999999</v>
      </c>
      <c r="J405" s="68">
        <f>7.3474 * CHOOSE(CONTROL!$C$22, $C$13, 100%, $E$13)</f>
        <v>7.3474000000000004</v>
      </c>
      <c r="K405" s="68">
        <f>7.3541 * CHOOSE(CONTROL!$C$22, $C$13, 100%, $E$13)</f>
        <v>7.3540999999999999</v>
      </c>
    </row>
    <row r="406" spans="1:11" ht="15">
      <c r="A406" s="13">
        <v>53479</v>
      </c>
      <c r="B406" s="67">
        <f>6.0149 * CHOOSE(CONTROL!$C$22, $C$13, 100%, $E$13)</f>
        <v>6.0148999999999999</v>
      </c>
      <c r="C406" s="67">
        <f>6.0149 * CHOOSE(CONTROL!$C$22, $C$13, 100%, $E$13)</f>
        <v>6.0148999999999999</v>
      </c>
      <c r="D406" s="67">
        <f>6.0204 * CHOOSE(CONTROL!$C$22, $C$13, 100%, $E$13)</f>
        <v>6.0204000000000004</v>
      </c>
      <c r="E406" s="68">
        <f>7.3147 * CHOOSE(CONTROL!$C$22, $C$13, 100%, $E$13)</f>
        <v>7.3147000000000002</v>
      </c>
      <c r="F406" s="68">
        <f>7.3147 * CHOOSE(CONTROL!$C$22, $C$13, 100%, $E$13)</f>
        <v>7.3147000000000002</v>
      </c>
      <c r="G406" s="68">
        <f>7.3215 * CHOOSE(CONTROL!$C$22, $C$13, 100%, $E$13)</f>
        <v>7.3215000000000003</v>
      </c>
      <c r="H406" s="68">
        <f>11.089* CHOOSE(CONTROL!$C$22, $C$13, 100%, $E$13)</f>
        <v>11.089</v>
      </c>
      <c r="I406" s="68">
        <f>11.0958 * CHOOSE(CONTROL!$C$22, $C$13, 100%, $E$13)</f>
        <v>11.095800000000001</v>
      </c>
      <c r="J406" s="68">
        <f>7.3147 * CHOOSE(CONTROL!$C$22, $C$13, 100%, $E$13)</f>
        <v>7.3147000000000002</v>
      </c>
      <c r="K406" s="68">
        <f>7.3215 * CHOOSE(CONTROL!$C$22, $C$13, 100%, $E$13)</f>
        <v>7.3215000000000003</v>
      </c>
    </row>
    <row r="407" spans="1:11" ht="15">
      <c r="A407" s="13">
        <v>53509</v>
      </c>
      <c r="B407" s="67">
        <f>6.1119 * CHOOSE(CONTROL!$C$22, $C$13, 100%, $E$13)</f>
        <v>6.1119000000000003</v>
      </c>
      <c r="C407" s="67">
        <f>6.1119 * CHOOSE(CONTROL!$C$22, $C$13, 100%, $E$13)</f>
        <v>6.1119000000000003</v>
      </c>
      <c r="D407" s="67">
        <f>6.1174 * CHOOSE(CONTROL!$C$22, $C$13, 100%, $E$13)</f>
        <v>6.1173999999999999</v>
      </c>
      <c r="E407" s="68">
        <f>7.4374 * CHOOSE(CONTROL!$C$22, $C$13, 100%, $E$13)</f>
        <v>7.4374000000000002</v>
      </c>
      <c r="F407" s="68">
        <f>7.4374 * CHOOSE(CONTROL!$C$22, $C$13, 100%, $E$13)</f>
        <v>7.4374000000000002</v>
      </c>
      <c r="G407" s="68">
        <f>7.4441 * CHOOSE(CONTROL!$C$22, $C$13, 100%, $E$13)</f>
        <v>7.4440999999999997</v>
      </c>
      <c r="H407" s="68">
        <f>11.1121* CHOOSE(CONTROL!$C$22, $C$13, 100%, $E$13)</f>
        <v>11.1121</v>
      </c>
      <c r="I407" s="68">
        <f>11.1189 * CHOOSE(CONTROL!$C$22, $C$13, 100%, $E$13)</f>
        <v>11.1189</v>
      </c>
      <c r="J407" s="68">
        <f>7.4374 * CHOOSE(CONTROL!$C$22, $C$13, 100%, $E$13)</f>
        <v>7.4374000000000002</v>
      </c>
      <c r="K407" s="68">
        <f>7.4441 * CHOOSE(CONTROL!$C$22, $C$13, 100%, $E$13)</f>
        <v>7.4440999999999997</v>
      </c>
    </row>
    <row r="408" spans="1:11" ht="15">
      <c r="A408" s="13">
        <v>53540</v>
      </c>
      <c r="B408" s="67">
        <f>6.1186 * CHOOSE(CONTROL!$C$22, $C$13, 100%, $E$13)</f>
        <v>6.1185999999999998</v>
      </c>
      <c r="C408" s="67">
        <f>6.1186 * CHOOSE(CONTROL!$C$22, $C$13, 100%, $E$13)</f>
        <v>6.1185999999999998</v>
      </c>
      <c r="D408" s="67">
        <f>6.1241 * CHOOSE(CONTROL!$C$22, $C$13, 100%, $E$13)</f>
        <v>6.1241000000000003</v>
      </c>
      <c r="E408" s="68">
        <f>7.3314 * CHOOSE(CONTROL!$C$22, $C$13, 100%, $E$13)</f>
        <v>7.3314000000000004</v>
      </c>
      <c r="F408" s="68">
        <f>7.3314 * CHOOSE(CONTROL!$C$22, $C$13, 100%, $E$13)</f>
        <v>7.3314000000000004</v>
      </c>
      <c r="G408" s="68">
        <f>7.3381 * CHOOSE(CONTROL!$C$22, $C$13, 100%, $E$13)</f>
        <v>7.3380999999999998</v>
      </c>
      <c r="H408" s="68">
        <f>11.1353* CHOOSE(CONTROL!$C$22, $C$13, 100%, $E$13)</f>
        <v>11.135300000000001</v>
      </c>
      <c r="I408" s="68">
        <f>11.142 * CHOOSE(CONTROL!$C$22, $C$13, 100%, $E$13)</f>
        <v>11.141999999999999</v>
      </c>
      <c r="J408" s="68">
        <f>7.3314 * CHOOSE(CONTROL!$C$22, $C$13, 100%, $E$13)</f>
        <v>7.3314000000000004</v>
      </c>
      <c r="K408" s="68">
        <f>7.3381 * CHOOSE(CONTROL!$C$22, $C$13, 100%, $E$13)</f>
        <v>7.3380999999999998</v>
      </c>
    </row>
    <row r="409" spans="1:11" ht="15">
      <c r="A409" s="13">
        <v>53571</v>
      </c>
      <c r="B409" s="67">
        <f>6.1156 * CHOOSE(CONTROL!$C$22, $C$13, 100%, $E$13)</f>
        <v>6.1155999999999997</v>
      </c>
      <c r="C409" s="67">
        <f>6.1156 * CHOOSE(CONTROL!$C$22, $C$13, 100%, $E$13)</f>
        <v>6.1155999999999997</v>
      </c>
      <c r="D409" s="67">
        <f>6.1211 * CHOOSE(CONTROL!$C$22, $C$13, 100%, $E$13)</f>
        <v>6.1211000000000002</v>
      </c>
      <c r="E409" s="68">
        <f>7.317 * CHOOSE(CONTROL!$C$22, $C$13, 100%, $E$13)</f>
        <v>7.3170000000000002</v>
      </c>
      <c r="F409" s="68">
        <f>7.317 * CHOOSE(CONTROL!$C$22, $C$13, 100%, $E$13)</f>
        <v>7.3170000000000002</v>
      </c>
      <c r="G409" s="68">
        <f>7.3237 * CHOOSE(CONTROL!$C$22, $C$13, 100%, $E$13)</f>
        <v>7.3236999999999997</v>
      </c>
      <c r="H409" s="68">
        <f>11.1585* CHOOSE(CONTROL!$C$22, $C$13, 100%, $E$13)</f>
        <v>11.1585</v>
      </c>
      <c r="I409" s="68">
        <f>11.1652 * CHOOSE(CONTROL!$C$22, $C$13, 100%, $E$13)</f>
        <v>11.1652</v>
      </c>
      <c r="J409" s="68">
        <f>7.317 * CHOOSE(CONTROL!$C$22, $C$13, 100%, $E$13)</f>
        <v>7.3170000000000002</v>
      </c>
      <c r="K409" s="68">
        <f>7.3237 * CHOOSE(CONTROL!$C$22, $C$13, 100%, $E$13)</f>
        <v>7.3236999999999997</v>
      </c>
    </row>
    <row r="410" spans="1:11" ht="15">
      <c r="A410" s="13">
        <v>53601</v>
      </c>
      <c r="B410" s="67">
        <f>6.1176 * CHOOSE(CONTROL!$C$22, $C$13, 100%, $E$13)</f>
        <v>6.1176000000000004</v>
      </c>
      <c r="C410" s="67">
        <f>6.1176 * CHOOSE(CONTROL!$C$22, $C$13, 100%, $E$13)</f>
        <v>6.1176000000000004</v>
      </c>
      <c r="D410" s="67">
        <f>6.1215 * CHOOSE(CONTROL!$C$22, $C$13, 100%, $E$13)</f>
        <v>6.1215000000000002</v>
      </c>
      <c r="E410" s="68">
        <f>7.3527 * CHOOSE(CONTROL!$C$22, $C$13, 100%, $E$13)</f>
        <v>7.3526999999999996</v>
      </c>
      <c r="F410" s="68">
        <f>7.3527 * CHOOSE(CONTROL!$C$22, $C$13, 100%, $E$13)</f>
        <v>7.3526999999999996</v>
      </c>
      <c r="G410" s="68">
        <f>7.3575 * CHOOSE(CONTROL!$C$22, $C$13, 100%, $E$13)</f>
        <v>7.3574999999999999</v>
      </c>
      <c r="H410" s="68">
        <f>11.1817* CHOOSE(CONTROL!$C$22, $C$13, 100%, $E$13)</f>
        <v>11.181699999999999</v>
      </c>
      <c r="I410" s="68">
        <f>11.1865 * CHOOSE(CONTROL!$C$22, $C$13, 100%, $E$13)</f>
        <v>11.186500000000001</v>
      </c>
      <c r="J410" s="68">
        <f>7.3527 * CHOOSE(CONTROL!$C$22, $C$13, 100%, $E$13)</f>
        <v>7.3526999999999996</v>
      </c>
      <c r="K410" s="68">
        <f>7.3575 * CHOOSE(CONTROL!$C$22, $C$13, 100%, $E$13)</f>
        <v>7.3574999999999999</v>
      </c>
    </row>
    <row r="411" spans="1:11" ht="15">
      <c r="A411" s="13">
        <v>53632</v>
      </c>
      <c r="B411" s="67">
        <f>6.1207 * CHOOSE(CONTROL!$C$22, $C$13, 100%, $E$13)</f>
        <v>6.1207000000000003</v>
      </c>
      <c r="C411" s="67">
        <f>6.1207 * CHOOSE(CONTROL!$C$22, $C$13, 100%, $E$13)</f>
        <v>6.1207000000000003</v>
      </c>
      <c r="D411" s="67">
        <f>6.1246 * CHOOSE(CONTROL!$C$22, $C$13, 100%, $E$13)</f>
        <v>6.1246</v>
      </c>
      <c r="E411" s="68">
        <f>7.3794 * CHOOSE(CONTROL!$C$22, $C$13, 100%, $E$13)</f>
        <v>7.3794000000000004</v>
      </c>
      <c r="F411" s="68">
        <f>7.3794 * CHOOSE(CONTROL!$C$22, $C$13, 100%, $E$13)</f>
        <v>7.3794000000000004</v>
      </c>
      <c r="G411" s="68">
        <f>7.3842 * CHOOSE(CONTROL!$C$22, $C$13, 100%, $E$13)</f>
        <v>7.3841999999999999</v>
      </c>
      <c r="H411" s="68">
        <f>11.205* CHOOSE(CONTROL!$C$22, $C$13, 100%, $E$13)</f>
        <v>11.205</v>
      </c>
      <c r="I411" s="68">
        <f>11.2098 * CHOOSE(CONTROL!$C$22, $C$13, 100%, $E$13)</f>
        <v>11.2098</v>
      </c>
      <c r="J411" s="68">
        <f>7.3794 * CHOOSE(CONTROL!$C$22, $C$13, 100%, $E$13)</f>
        <v>7.3794000000000004</v>
      </c>
      <c r="K411" s="68">
        <f>7.3842 * CHOOSE(CONTROL!$C$22, $C$13, 100%, $E$13)</f>
        <v>7.3841999999999999</v>
      </c>
    </row>
    <row r="412" spans="1:11" ht="15">
      <c r="A412" s="13">
        <v>53662</v>
      </c>
      <c r="B412" s="67">
        <f>6.1207 * CHOOSE(CONTROL!$C$22, $C$13, 100%, $E$13)</f>
        <v>6.1207000000000003</v>
      </c>
      <c r="C412" s="67">
        <f>6.1207 * CHOOSE(CONTROL!$C$22, $C$13, 100%, $E$13)</f>
        <v>6.1207000000000003</v>
      </c>
      <c r="D412" s="67">
        <f>6.1246 * CHOOSE(CONTROL!$C$22, $C$13, 100%, $E$13)</f>
        <v>6.1246</v>
      </c>
      <c r="E412" s="68">
        <f>7.318 * CHOOSE(CONTROL!$C$22, $C$13, 100%, $E$13)</f>
        <v>7.3179999999999996</v>
      </c>
      <c r="F412" s="68">
        <f>7.318 * CHOOSE(CONTROL!$C$22, $C$13, 100%, $E$13)</f>
        <v>7.3179999999999996</v>
      </c>
      <c r="G412" s="68">
        <f>7.3227 * CHOOSE(CONTROL!$C$22, $C$13, 100%, $E$13)</f>
        <v>7.3227000000000002</v>
      </c>
      <c r="H412" s="68">
        <f>11.2284* CHOOSE(CONTROL!$C$22, $C$13, 100%, $E$13)</f>
        <v>11.228400000000001</v>
      </c>
      <c r="I412" s="68">
        <f>11.2331 * CHOOSE(CONTROL!$C$22, $C$13, 100%, $E$13)</f>
        <v>11.2331</v>
      </c>
      <c r="J412" s="68">
        <f>7.318 * CHOOSE(CONTROL!$C$22, $C$13, 100%, $E$13)</f>
        <v>7.3179999999999996</v>
      </c>
      <c r="K412" s="68">
        <f>7.3227 * CHOOSE(CONTROL!$C$22, $C$13, 100%, $E$13)</f>
        <v>7.3227000000000002</v>
      </c>
    </row>
    <row r="413" spans="1:11" ht="15">
      <c r="A413" s="13">
        <v>53693</v>
      </c>
      <c r="B413" s="67">
        <f>6.1742 * CHOOSE(CONTROL!$C$22, $C$13, 100%, $E$13)</f>
        <v>6.1741999999999999</v>
      </c>
      <c r="C413" s="67">
        <f>6.1742 * CHOOSE(CONTROL!$C$22, $C$13, 100%, $E$13)</f>
        <v>6.1741999999999999</v>
      </c>
      <c r="D413" s="67">
        <f>6.1781 * CHOOSE(CONTROL!$C$22, $C$13, 100%, $E$13)</f>
        <v>6.1780999999999997</v>
      </c>
      <c r="E413" s="68">
        <f>7.4222 * CHOOSE(CONTROL!$C$22, $C$13, 100%, $E$13)</f>
        <v>7.4222000000000001</v>
      </c>
      <c r="F413" s="68">
        <f>7.4222 * CHOOSE(CONTROL!$C$22, $C$13, 100%, $E$13)</f>
        <v>7.4222000000000001</v>
      </c>
      <c r="G413" s="68">
        <f>7.427 * CHOOSE(CONTROL!$C$22, $C$13, 100%, $E$13)</f>
        <v>7.4269999999999996</v>
      </c>
      <c r="H413" s="68">
        <f>11.2518* CHOOSE(CONTROL!$C$22, $C$13, 100%, $E$13)</f>
        <v>11.251799999999999</v>
      </c>
      <c r="I413" s="68">
        <f>11.2565 * CHOOSE(CONTROL!$C$22, $C$13, 100%, $E$13)</f>
        <v>11.256500000000001</v>
      </c>
      <c r="J413" s="68">
        <f>7.4222 * CHOOSE(CONTROL!$C$22, $C$13, 100%, $E$13)</f>
        <v>7.4222000000000001</v>
      </c>
      <c r="K413" s="68">
        <f>7.427 * CHOOSE(CONTROL!$C$22, $C$13, 100%, $E$13)</f>
        <v>7.4269999999999996</v>
      </c>
    </row>
    <row r="414" spans="1:11" ht="15">
      <c r="A414" s="13">
        <v>53724</v>
      </c>
      <c r="B414" s="67">
        <f>6.1712 * CHOOSE(CONTROL!$C$22, $C$13, 100%, $E$13)</f>
        <v>6.1711999999999998</v>
      </c>
      <c r="C414" s="67">
        <f>6.1712 * CHOOSE(CONTROL!$C$22, $C$13, 100%, $E$13)</f>
        <v>6.1711999999999998</v>
      </c>
      <c r="D414" s="67">
        <f>6.1751 * CHOOSE(CONTROL!$C$22, $C$13, 100%, $E$13)</f>
        <v>6.1750999999999996</v>
      </c>
      <c r="E414" s="68">
        <f>7.3006 * CHOOSE(CONTROL!$C$22, $C$13, 100%, $E$13)</f>
        <v>7.3006000000000002</v>
      </c>
      <c r="F414" s="68">
        <f>7.3006 * CHOOSE(CONTROL!$C$22, $C$13, 100%, $E$13)</f>
        <v>7.3006000000000002</v>
      </c>
      <c r="G414" s="68">
        <f>7.3054 * CHOOSE(CONTROL!$C$22, $C$13, 100%, $E$13)</f>
        <v>7.3053999999999997</v>
      </c>
      <c r="H414" s="68">
        <f>11.2752* CHOOSE(CONTROL!$C$22, $C$13, 100%, $E$13)</f>
        <v>11.2752</v>
      </c>
      <c r="I414" s="68">
        <f>11.28 * CHOOSE(CONTROL!$C$22, $C$13, 100%, $E$13)</f>
        <v>11.28</v>
      </c>
      <c r="J414" s="68">
        <f>7.3006 * CHOOSE(CONTROL!$C$22, $C$13, 100%, $E$13)</f>
        <v>7.3006000000000002</v>
      </c>
      <c r="K414" s="68">
        <f>7.3054 * CHOOSE(CONTROL!$C$22, $C$13, 100%, $E$13)</f>
        <v>7.3053999999999997</v>
      </c>
    </row>
    <row r="415" spans="1:11" ht="15">
      <c r="A415" s="13">
        <v>53752</v>
      </c>
      <c r="B415" s="67">
        <f>6.1681 * CHOOSE(CONTROL!$C$22, $C$13, 100%, $E$13)</f>
        <v>6.1680999999999999</v>
      </c>
      <c r="C415" s="67">
        <f>6.1681 * CHOOSE(CONTROL!$C$22, $C$13, 100%, $E$13)</f>
        <v>6.1680999999999999</v>
      </c>
      <c r="D415" s="67">
        <f>6.172 * CHOOSE(CONTROL!$C$22, $C$13, 100%, $E$13)</f>
        <v>6.1719999999999997</v>
      </c>
      <c r="E415" s="68">
        <f>7.3927 * CHOOSE(CONTROL!$C$22, $C$13, 100%, $E$13)</f>
        <v>7.3926999999999996</v>
      </c>
      <c r="F415" s="68">
        <f>7.3927 * CHOOSE(CONTROL!$C$22, $C$13, 100%, $E$13)</f>
        <v>7.3926999999999996</v>
      </c>
      <c r="G415" s="68">
        <f>7.3974 * CHOOSE(CONTROL!$C$22, $C$13, 100%, $E$13)</f>
        <v>7.3974000000000002</v>
      </c>
      <c r="H415" s="68">
        <f>11.2987* CHOOSE(CONTROL!$C$22, $C$13, 100%, $E$13)</f>
        <v>11.2987</v>
      </c>
      <c r="I415" s="68">
        <f>11.3035 * CHOOSE(CONTROL!$C$22, $C$13, 100%, $E$13)</f>
        <v>11.3035</v>
      </c>
      <c r="J415" s="68">
        <f>7.3927 * CHOOSE(CONTROL!$C$22, $C$13, 100%, $E$13)</f>
        <v>7.3926999999999996</v>
      </c>
      <c r="K415" s="68">
        <f>7.3974 * CHOOSE(CONTROL!$C$22, $C$13, 100%, $E$13)</f>
        <v>7.3974000000000002</v>
      </c>
    </row>
    <row r="416" spans="1:11" ht="15">
      <c r="A416" s="13">
        <v>53783</v>
      </c>
      <c r="B416" s="67">
        <f>6.1677 * CHOOSE(CONTROL!$C$22, $C$13, 100%, $E$13)</f>
        <v>6.1677</v>
      </c>
      <c r="C416" s="67">
        <f>6.1677 * CHOOSE(CONTROL!$C$22, $C$13, 100%, $E$13)</f>
        <v>6.1677</v>
      </c>
      <c r="D416" s="67">
        <f>6.1715 * CHOOSE(CONTROL!$C$22, $C$13, 100%, $E$13)</f>
        <v>6.1715</v>
      </c>
      <c r="E416" s="68">
        <f>7.4896 * CHOOSE(CONTROL!$C$22, $C$13, 100%, $E$13)</f>
        <v>7.4896000000000003</v>
      </c>
      <c r="F416" s="68">
        <f>7.4896 * CHOOSE(CONTROL!$C$22, $C$13, 100%, $E$13)</f>
        <v>7.4896000000000003</v>
      </c>
      <c r="G416" s="68">
        <f>7.4943 * CHOOSE(CONTROL!$C$22, $C$13, 100%, $E$13)</f>
        <v>7.4943</v>
      </c>
      <c r="H416" s="68">
        <f>11.3222* CHOOSE(CONTROL!$C$22, $C$13, 100%, $E$13)</f>
        <v>11.3222</v>
      </c>
      <c r="I416" s="68">
        <f>11.327 * CHOOSE(CONTROL!$C$22, $C$13, 100%, $E$13)</f>
        <v>11.327</v>
      </c>
      <c r="J416" s="68">
        <f>7.4896 * CHOOSE(CONTROL!$C$22, $C$13, 100%, $E$13)</f>
        <v>7.4896000000000003</v>
      </c>
      <c r="K416" s="68">
        <f>7.4943 * CHOOSE(CONTROL!$C$22, $C$13, 100%, $E$13)</f>
        <v>7.4943</v>
      </c>
    </row>
    <row r="417" spans="1:11" ht="15">
      <c r="A417" s="13">
        <v>53813</v>
      </c>
      <c r="B417" s="67">
        <f>6.1677 * CHOOSE(CONTROL!$C$22, $C$13, 100%, $E$13)</f>
        <v>6.1677</v>
      </c>
      <c r="C417" s="67">
        <f>6.1677 * CHOOSE(CONTROL!$C$22, $C$13, 100%, $E$13)</f>
        <v>6.1677</v>
      </c>
      <c r="D417" s="67">
        <f>6.1732 * CHOOSE(CONTROL!$C$22, $C$13, 100%, $E$13)</f>
        <v>6.1731999999999996</v>
      </c>
      <c r="E417" s="68">
        <f>7.5275 * CHOOSE(CONTROL!$C$22, $C$13, 100%, $E$13)</f>
        <v>7.5274999999999999</v>
      </c>
      <c r="F417" s="68">
        <f>7.5275 * CHOOSE(CONTROL!$C$22, $C$13, 100%, $E$13)</f>
        <v>7.5274999999999999</v>
      </c>
      <c r="G417" s="68">
        <f>7.5342 * CHOOSE(CONTROL!$C$22, $C$13, 100%, $E$13)</f>
        <v>7.5342000000000002</v>
      </c>
      <c r="H417" s="68">
        <f>11.3458* CHOOSE(CONTROL!$C$22, $C$13, 100%, $E$13)</f>
        <v>11.345800000000001</v>
      </c>
      <c r="I417" s="68">
        <f>11.3525 * CHOOSE(CONTROL!$C$22, $C$13, 100%, $E$13)</f>
        <v>11.352499999999999</v>
      </c>
      <c r="J417" s="68">
        <f>7.5275 * CHOOSE(CONTROL!$C$22, $C$13, 100%, $E$13)</f>
        <v>7.5274999999999999</v>
      </c>
      <c r="K417" s="68">
        <f>7.5342 * CHOOSE(CONTROL!$C$22, $C$13, 100%, $E$13)</f>
        <v>7.5342000000000002</v>
      </c>
    </row>
    <row r="418" spans="1:11" ht="15">
      <c r="A418" s="13">
        <v>53844</v>
      </c>
      <c r="B418" s="67">
        <f>6.1737 * CHOOSE(CONTROL!$C$22, $C$13, 100%, $E$13)</f>
        <v>6.1737000000000002</v>
      </c>
      <c r="C418" s="67">
        <f>6.1737 * CHOOSE(CONTROL!$C$22, $C$13, 100%, $E$13)</f>
        <v>6.1737000000000002</v>
      </c>
      <c r="D418" s="67">
        <f>6.1793 * CHOOSE(CONTROL!$C$22, $C$13, 100%, $E$13)</f>
        <v>6.1792999999999996</v>
      </c>
      <c r="E418" s="68">
        <f>7.4938 * CHOOSE(CONTROL!$C$22, $C$13, 100%, $E$13)</f>
        <v>7.4938000000000002</v>
      </c>
      <c r="F418" s="68">
        <f>7.4938 * CHOOSE(CONTROL!$C$22, $C$13, 100%, $E$13)</f>
        <v>7.4938000000000002</v>
      </c>
      <c r="G418" s="68">
        <f>7.5005 * CHOOSE(CONTROL!$C$22, $C$13, 100%, $E$13)</f>
        <v>7.5004999999999997</v>
      </c>
      <c r="H418" s="68">
        <f>11.3694* CHOOSE(CONTROL!$C$22, $C$13, 100%, $E$13)</f>
        <v>11.369400000000001</v>
      </c>
      <c r="I418" s="68">
        <f>11.3762 * CHOOSE(CONTROL!$C$22, $C$13, 100%, $E$13)</f>
        <v>11.376200000000001</v>
      </c>
      <c r="J418" s="68">
        <f>7.4938 * CHOOSE(CONTROL!$C$22, $C$13, 100%, $E$13)</f>
        <v>7.4938000000000002</v>
      </c>
      <c r="K418" s="68">
        <f>7.5005 * CHOOSE(CONTROL!$C$22, $C$13, 100%, $E$13)</f>
        <v>7.5004999999999997</v>
      </c>
    </row>
    <row r="419" spans="1:11" ht="15">
      <c r="A419" s="13">
        <v>53874</v>
      </c>
      <c r="B419" s="67">
        <f>6.273 * CHOOSE(CONTROL!$C$22, $C$13, 100%, $E$13)</f>
        <v>6.2729999999999997</v>
      </c>
      <c r="C419" s="67">
        <f>6.273 * CHOOSE(CONTROL!$C$22, $C$13, 100%, $E$13)</f>
        <v>6.2729999999999997</v>
      </c>
      <c r="D419" s="67">
        <f>6.2785 * CHOOSE(CONTROL!$C$22, $C$13, 100%, $E$13)</f>
        <v>6.2785000000000002</v>
      </c>
      <c r="E419" s="68">
        <f>7.6192 * CHOOSE(CONTROL!$C$22, $C$13, 100%, $E$13)</f>
        <v>7.6192000000000002</v>
      </c>
      <c r="F419" s="68">
        <f>7.6192 * CHOOSE(CONTROL!$C$22, $C$13, 100%, $E$13)</f>
        <v>7.6192000000000002</v>
      </c>
      <c r="G419" s="68">
        <f>7.6259 * CHOOSE(CONTROL!$C$22, $C$13, 100%, $E$13)</f>
        <v>7.6258999999999997</v>
      </c>
      <c r="H419" s="68">
        <f>11.3931* CHOOSE(CONTROL!$C$22, $C$13, 100%, $E$13)</f>
        <v>11.3931</v>
      </c>
      <c r="I419" s="68">
        <f>11.3999 * CHOOSE(CONTROL!$C$22, $C$13, 100%, $E$13)</f>
        <v>11.399900000000001</v>
      </c>
      <c r="J419" s="68">
        <f>7.6192 * CHOOSE(CONTROL!$C$22, $C$13, 100%, $E$13)</f>
        <v>7.6192000000000002</v>
      </c>
      <c r="K419" s="68">
        <f>7.6259 * CHOOSE(CONTROL!$C$22, $C$13, 100%, $E$13)</f>
        <v>7.6258999999999997</v>
      </c>
    </row>
    <row r="420" spans="1:11" ht="15">
      <c r="A420" s="13">
        <v>53905</v>
      </c>
      <c r="B420" s="67">
        <f>6.2797 * CHOOSE(CONTROL!$C$22, $C$13, 100%, $E$13)</f>
        <v>6.2797000000000001</v>
      </c>
      <c r="C420" s="67">
        <f>6.2797 * CHOOSE(CONTROL!$C$22, $C$13, 100%, $E$13)</f>
        <v>6.2797000000000001</v>
      </c>
      <c r="D420" s="67">
        <f>6.2852 * CHOOSE(CONTROL!$C$22, $C$13, 100%, $E$13)</f>
        <v>6.2851999999999997</v>
      </c>
      <c r="E420" s="68">
        <f>7.5101 * CHOOSE(CONTROL!$C$22, $C$13, 100%, $E$13)</f>
        <v>7.5101000000000004</v>
      </c>
      <c r="F420" s="68">
        <f>7.5101 * CHOOSE(CONTROL!$C$22, $C$13, 100%, $E$13)</f>
        <v>7.5101000000000004</v>
      </c>
      <c r="G420" s="68">
        <f>7.5168 * CHOOSE(CONTROL!$C$22, $C$13, 100%, $E$13)</f>
        <v>7.5167999999999999</v>
      </c>
      <c r="H420" s="68">
        <f>11.4169* CHOOSE(CONTROL!$C$22, $C$13, 100%, $E$13)</f>
        <v>11.4169</v>
      </c>
      <c r="I420" s="68">
        <f>11.4236 * CHOOSE(CONTROL!$C$22, $C$13, 100%, $E$13)</f>
        <v>11.4236</v>
      </c>
      <c r="J420" s="68">
        <f>7.5101 * CHOOSE(CONTROL!$C$22, $C$13, 100%, $E$13)</f>
        <v>7.5101000000000004</v>
      </c>
      <c r="K420" s="68">
        <f>7.5168 * CHOOSE(CONTROL!$C$22, $C$13, 100%, $E$13)</f>
        <v>7.5167999999999999</v>
      </c>
    </row>
    <row r="421" spans="1:11" ht="15">
      <c r="A421" s="13">
        <v>53936</v>
      </c>
      <c r="B421" s="67">
        <f>6.2767 * CHOOSE(CONTROL!$C$22, $C$13, 100%, $E$13)</f>
        <v>6.2766999999999999</v>
      </c>
      <c r="C421" s="67">
        <f>6.2767 * CHOOSE(CONTROL!$C$22, $C$13, 100%, $E$13)</f>
        <v>6.2766999999999999</v>
      </c>
      <c r="D421" s="67">
        <f>6.2822 * CHOOSE(CONTROL!$C$22, $C$13, 100%, $E$13)</f>
        <v>6.2821999999999996</v>
      </c>
      <c r="E421" s="68">
        <f>7.4953 * CHOOSE(CONTROL!$C$22, $C$13, 100%, $E$13)</f>
        <v>7.4953000000000003</v>
      </c>
      <c r="F421" s="68">
        <f>7.4953 * CHOOSE(CONTROL!$C$22, $C$13, 100%, $E$13)</f>
        <v>7.4953000000000003</v>
      </c>
      <c r="G421" s="68">
        <f>7.5021 * CHOOSE(CONTROL!$C$22, $C$13, 100%, $E$13)</f>
        <v>7.5021000000000004</v>
      </c>
      <c r="H421" s="68">
        <f>11.4407* CHOOSE(CONTROL!$C$22, $C$13, 100%, $E$13)</f>
        <v>11.4407</v>
      </c>
      <c r="I421" s="68">
        <f>11.4474 * CHOOSE(CONTROL!$C$22, $C$13, 100%, $E$13)</f>
        <v>11.4474</v>
      </c>
      <c r="J421" s="68">
        <f>7.4953 * CHOOSE(CONTROL!$C$22, $C$13, 100%, $E$13)</f>
        <v>7.4953000000000003</v>
      </c>
      <c r="K421" s="68">
        <f>7.5021 * CHOOSE(CONTROL!$C$22, $C$13, 100%, $E$13)</f>
        <v>7.5021000000000004</v>
      </c>
    </row>
    <row r="422" spans="1:11" ht="15">
      <c r="A422" s="13">
        <v>53966</v>
      </c>
      <c r="B422" s="67">
        <f>6.2793 * CHOOSE(CONTROL!$C$22, $C$13, 100%, $E$13)</f>
        <v>6.2793000000000001</v>
      </c>
      <c r="C422" s="67">
        <f>6.2793 * CHOOSE(CONTROL!$C$22, $C$13, 100%, $E$13)</f>
        <v>6.2793000000000001</v>
      </c>
      <c r="D422" s="67">
        <f>6.2832 * CHOOSE(CONTROL!$C$22, $C$13, 100%, $E$13)</f>
        <v>6.2831999999999999</v>
      </c>
      <c r="E422" s="68">
        <f>7.5325 * CHOOSE(CONTROL!$C$22, $C$13, 100%, $E$13)</f>
        <v>7.5324999999999998</v>
      </c>
      <c r="F422" s="68">
        <f>7.5325 * CHOOSE(CONTROL!$C$22, $C$13, 100%, $E$13)</f>
        <v>7.5324999999999998</v>
      </c>
      <c r="G422" s="68">
        <f>7.5372 * CHOOSE(CONTROL!$C$22, $C$13, 100%, $E$13)</f>
        <v>7.5372000000000003</v>
      </c>
      <c r="H422" s="68">
        <f>11.4645* CHOOSE(CONTROL!$C$22, $C$13, 100%, $E$13)</f>
        <v>11.464499999999999</v>
      </c>
      <c r="I422" s="68">
        <f>11.4693 * CHOOSE(CONTROL!$C$22, $C$13, 100%, $E$13)</f>
        <v>11.4693</v>
      </c>
      <c r="J422" s="68">
        <f>7.5325 * CHOOSE(CONTROL!$C$22, $C$13, 100%, $E$13)</f>
        <v>7.5324999999999998</v>
      </c>
      <c r="K422" s="68">
        <f>7.5372 * CHOOSE(CONTROL!$C$22, $C$13, 100%, $E$13)</f>
        <v>7.5372000000000003</v>
      </c>
    </row>
    <row r="423" spans="1:11" ht="15">
      <c r="A423" s="13">
        <v>53997</v>
      </c>
      <c r="B423" s="67">
        <f>6.2823 * CHOOSE(CONTROL!$C$22, $C$13, 100%, $E$13)</f>
        <v>6.2823000000000002</v>
      </c>
      <c r="C423" s="67">
        <f>6.2823 * CHOOSE(CONTROL!$C$22, $C$13, 100%, $E$13)</f>
        <v>6.2823000000000002</v>
      </c>
      <c r="D423" s="67">
        <f>6.2862 * CHOOSE(CONTROL!$C$22, $C$13, 100%, $E$13)</f>
        <v>6.2862</v>
      </c>
      <c r="E423" s="68">
        <f>7.5599 * CHOOSE(CONTROL!$C$22, $C$13, 100%, $E$13)</f>
        <v>7.5598999999999998</v>
      </c>
      <c r="F423" s="68">
        <f>7.5599 * CHOOSE(CONTROL!$C$22, $C$13, 100%, $E$13)</f>
        <v>7.5598999999999998</v>
      </c>
      <c r="G423" s="68">
        <f>7.5646 * CHOOSE(CONTROL!$C$22, $C$13, 100%, $E$13)</f>
        <v>7.5646000000000004</v>
      </c>
      <c r="H423" s="68">
        <f>11.4884* CHOOSE(CONTROL!$C$22, $C$13, 100%, $E$13)</f>
        <v>11.4884</v>
      </c>
      <c r="I423" s="68">
        <f>11.4931 * CHOOSE(CONTROL!$C$22, $C$13, 100%, $E$13)</f>
        <v>11.4931</v>
      </c>
      <c r="J423" s="68">
        <f>7.5599 * CHOOSE(CONTROL!$C$22, $C$13, 100%, $E$13)</f>
        <v>7.5598999999999998</v>
      </c>
      <c r="K423" s="68">
        <f>7.5646 * CHOOSE(CONTROL!$C$22, $C$13, 100%, $E$13)</f>
        <v>7.5646000000000004</v>
      </c>
    </row>
    <row r="424" spans="1:11" ht="15">
      <c r="A424" s="13">
        <v>54027</v>
      </c>
      <c r="B424" s="67">
        <f>6.2823 * CHOOSE(CONTROL!$C$22, $C$13, 100%, $E$13)</f>
        <v>6.2823000000000002</v>
      </c>
      <c r="C424" s="67">
        <f>6.2823 * CHOOSE(CONTROL!$C$22, $C$13, 100%, $E$13)</f>
        <v>6.2823000000000002</v>
      </c>
      <c r="D424" s="67">
        <f>6.2862 * CHOOSE(CONTROL!$C$22, $C$13, 100%, $E$13)</f>
        <v>6.2862</v>
      </c>
      <c r="E424" s="68">
        <f>7.4967 * CHOOSE(CONTROL!$C$22, $C$13, 100%, $E$13)</f>
        <v>7.4966999999999997</v>
      </c>
      <c r="F424" s="68">
        <f>7.4967 * CHOOSE(CONTROL!$C$22, $C$13, 100%, $E$13)</f>
        <v>7.4966999999999997</v>
      </c>
      <c r="G424" s="68">
        <f>7.5014 * CHOOSE(CONTROL!$C$22, $C$13, 100%, $E$13)</f>
        <v>7.5014000000000003</v>
      </c>
      <c r="H424" s="68">
        <f>11.5123* CHOOSE(CONTROL!$C$22, $C$13, 100%, $E$13)</f>
        <v>11.5123</v>
      </c>
      <c r="I424" s="68">
        <f>11.5171 * CHOOSE(CONTROL!$C$22, $C$13, 100%, $E$13)</f>
        <v>11.517099999999999</v>
      </c>
      <c r="J424" s="68">
        <f>7.4967 * CHOOSE(CONTROL!$C$22, $C$13, 100%, $E$13)</f>
        <v>7.4966999999999997</v>
      </c>
      <c r="K424" s="68">
        <f>7.5014 * CHOOSE(CONTROL!$C$22, $C$13, 100%, $E$13)</f>
        <v>7.5014000000000003</v>
      </c>
    </row>
    <row r="425" spans="1:11" ht="15">
      <c r="A425" s="13">
        <v>54058</v>
      </c>
      <c r="B425" s="67">
        <f>6.3372 * CHOOSE(CONTROL!$C$22, $C$13, 100%, $E$13)</f>
        <v>6.3372000000000002</v>
      </c>
      <c r="C425" s="67">
        <f>6.3372 * CHOOSE(CONTROL!$C$22, $C$13, 100%, $E$13)</f>
        <v>6.3372000000000002</v>
      </c>
      <c r="D425" s="67">
        <f>6.341 * CHOOSE(CONTROL!$C$22, $C$13, 100%, $E$13)</f>
        <v>6.3410000000000002</v>
      </c>
      <c r="E425" s="68">
        <f>7.6035 * CHOOSE(CONTROL!$C$22, $C$13, 100%, $E$13)</f>
        <v>7.6035000000000004</v>
      </c>
      <c r="F425" s="68">
        <f>7.6035 * CHOOSE(CONTROL!$C$22, $C$13, 100%, $E$13)</f>
        <v>7.6035000000000004</v>
      </c>
      <c r="G425" s="68">
        <f>7.6083 * CHOOSE(CONTROL!$C$22, $C$13, 100%, $E$13)</f>
        <v>7.6082999999999998</v>
      </c>
      <c r="H425" s="68">
        <f>11.5363* CHOOSE(CONTROL!$C$22, $C$13, 100%, $E$13)</f>
        <v>11.536300000000001</v>
      </c>
      <c r="I425" s="68">
        <f>11.5411 * CHOOSE(CONTROL!$C$22, $C$13, 100%, $E$13)</f>
        <v>11.5411</v>
      </c>
      <c r="J425" s="68">
        <f>7.6035 * CHOOSE(CONTROL!$C$22, $C$13, 100%, $E$13)</f>
        <v>7.6035000000000004</v>
      </c>
      <c r="K425" s="68">
        <f>7.6083 * CHOOSE(CONTROL!$C$22, $C$13, 100%, $E$13)</f>
        <v>7.6082999999999998</v>
      </c>
    </row>
    <row r="426" spans="1:11" ht="15">
      <c r="A426" s="13">
        <v>54089</v>
      </c>
      <c r="B426" s="67">
        <f>6.3341 * CHOOSE(CONTROL!$C$22, $C$13, 100%, $E$13)</f>
        <v>6.3341000000000003</v>
      </c>
      <c r="C426" s="67">
        <f>6.3341 * CHOOSE(CONTROL!$C$22, $C$13, 100%, $E$13)</f>
        <v>6.3341000000000003</v>
      </c>
      <c r="D426" s="67">
        <f>6.338 * CHOOSE(CONTROL!$C$22, $C$13, 100%, $E$13)</f>
        <v>6.3380000000000001</v>
      </c>
      <c r="E426" s="68">
        <f>7.4786 * CHOOSE(CONTROL!$C$22, $C$13, 100%, $E$13)</f>
        <v>7.4786000000000001</v>
      </c>
      <c r="F426" s="68">
        <f>7.4786 * CHOOSE(CONTROL!$C$22, $C$13, 100%, $E$13)</f>
        <v>7.4786000000000001</v>
      </c>
      <c r="G426" s="68">
        <f>7.4834 * CHOOSE(CONTROL!$C$22, $C$13, 100%, $E$13)</f>
        <v>7.4833999999999996</v>
      </c>
      <c r="H426" s="68">
        <f>11.5603* CHOOSE(CONTROL!$C$22, $C$13, 100%, $E$13)</f>
        <v>11.5603</v>
      </c>
      <c r="I426" s="68">
        <f>11.5651 * CHOOSE(CONTROL!$C$22, $C$13, 100%, $E$13)</f>
        <v>11.565099999999999</v>
      </c>
      <c r="J426" s="68">
        <f>7.4786 * CHOOSE(CONTROL!$C$22, $C$13, 100%, $E$13)</f>
        <v>7.4786000000000001</v>
      </c>
      <c r="K426" s="68">
        <f>7.4834 * CHOOSE(CONTROL!$C$22, $C$13, 100%, $E$13)</f>
        <v>7.4833999999999996</v>
      </c>
    </row>
    <row r="427" spans="1:11" ht="15">
      <c r="A427" s="13">
        <v>54118</v>
      </c>
      <c r="B427" s="67">
        <f>6.3311 * CHOOSE(CONTROL!$C$22, $C$13, 100%, $E$13)</f>
        <v>6.3311000000000002</v>
      </c>
      <c r="C427" s="67">
        <f>6.3311 * CHOOSE(CONTROL!$C$22, $C$13, 100%, $E$13)</f>
        <v>6.3311000000000002</v>
      </c>
      <c r="D427" s="67">
        <f>6.335 * CHOOSE(CONTROL!$C$22, $C$13, 100%, $E$13)</f>
        <v>6.335</v>
      </c>
      <c r="E427" s="68">
        <f>7.5733 * CHOOSE(CONTROL!$C$22, $C$13, 100%, $E$13)</f>
        <v>7.5732999999999997</v>
      </c>
      <c r="F427" s="68">
        <f>7.5733 * CHOOSE(CONTROL!$C$22, $C$13, 100%, $E$13)</f>
        <v>7.5732999999999997</v>
      </c>
      <c r="G427" s="68">
        <f>7.5781 * CHOOSE(CONTROL!$C$22, $C$13, 100%, $E$13)</f>
        <v>7.5781000000000001</v>
      </c>
      <c r="H427" s="68">
        <f>11.5844* CHOOSE(CONTROL!$C$22, $C$13, 100%, $E$13)</f>
        <v>11.5844</v>
      </c>
      <c r="I427" s="68">
        <f>11.5892 * CHOOSE(CONTROL!$C$22, $C$13, 100%, $E$13)</f>
        <v>11.5892</v>
      </c>
      <c r="J427" s="68">
        <f>7.5733 * CHOOSE(CONTROL!$C$22, $C$13, 100%, $E$13)</f>
        <v>7.5732999999999997</v>
      </c>
      <c r="K427" s="68">
        <f>7.5781 * CHOOSE(CONTROL!$C$22, $C$13, 100%, $E$13)</f>
        <v>7.5781000000000001</v>
      </c>
    </row>
    <row r="428" spans="1:11" ht="15">
      <c r="A428" s="13">
        <v>54149</v>
      </c>
      <c r="B428" s="67">
        <f>6.3307 * CHOOSE(CONTROL!$C$22, $C$13, 100%, $E$13)</f>
        <v>6.3307000000000002</v>
      </c>
      <c r="C428" s="67">
        <f>6.3307 * CHOOSE(CONTROL!$C$22, $C$13, 100%, $E$13)</f>
        <v>6.3307000000000002</v>
      </c>
      <c r="D428" s="67">
        <f>6.3346 * CHOOSE(CONTROL!$C$22, $C$13, 100%, $E$13)</f>
        <v>6.3346</v>
      </c>
      <c r="E428" s="68">
        <f>7.673 * CHOOSE(CONTROL!$C$22, $C$13, 100%, $E$13)</f>
        <v>7.673</v>
      </c>
      <c r="F428" s="68">
        <f>7.673 * CHOOSE(CONTROL!$C$22, $C$13, 100%, $E$13)</f>
        <v>7.673</v>
      </c>
      <c r="G428" s="68">
        <f>7.6778 * CHOOSE(CONTROL!$C$22, $C$13, 100%, $E$13)</f>
        <v>7.6778000000000004</v>
      </c>
      <c r="H428" s="68">
        <f>11.6085* CHOOSE(CONTROL!$C$22, $C$13, 100%, $E$13)</f>
        <v>11.608499999999999</v>
      </c>
      <c r="I428" s="68">
        <f>11.6133 * CHOOSE(CONTROL!$C$22, $C$13, 100%, $E$13)</f>
        <v>11.613300000000001</v>
      </c>
      <c r="J428" s="68">
        <f>7.673 * CHOOSE(CONTROL!$C$22, $C$13, 100%, $E$13)</f>
        <v>7.673</v>
      </c>
      <c r="K428" s="68">
        <f>7.6778 * CHOOSE(CONTROL!$C$22, $C$13, 100%, $E$13)</f>
        <v>7.6778000000000004</v>
      </c>
    </row>
    <row r="429" spans="1:11" ht="15">
      <c r="A429" s="13">
        <v>54179</v>
      </c>
      <c r="B429" s="67">
        <f>6.3307 * CHOOSE(CONTROL!$C$22, $C$13, 100%, $E$13)</f>
        <v>6.3307000000000002</v>
      </c>
      <c r="C429" s="67">
        <f>6.3307 * CHOOSE(CONTROL!$C$22, $C$13, 100%, $E$13)</f>
        <v>6.3307000000000002</v>
      </c>
      <c r="D429" s="67">
        <f>6.3362 * CHOOSE(CONTROL!$C$22, $C$13, 100%, $E$13)</f>
        <v>6.3361999999999998</v>
      </c>
      <c r="E429" s="68">
        <f>7.712 * CHOOSE(CONTROL!$C$22, $C$13, 100%, $E$13)</f>
        <v>7.7119999999999997</v>
      </c>
      <c r="F429" s="68">
        <f>7.712 * CHOOSE(CONTROL!$C$22, $C$13, 100%, $E$13)</f>
        <v>7.7119999999999997</v>
      </c>
      <c r="G429" s="68">
        <f>7.7188 * CHOOSE(CONTROL!$C$22, $C$13, 100%, $E$13)</f>
        <v>7.7187999999999999</v>
      </c>
      <c r="H429" s="68">
        <f>11.6327* CHOOSE(CONTROL!$C$22, $C$13, 100%, $E$13)</f>
        <v>11.6327</v>
      </c>
      <c r="I429" s="68">
        <f>11.6395 * CHOOSE(CONTROL!$C$22, $C$13, 100%, $E$13)</f>
        <v>11.6395</v>
      </c>
      <c r="J429" s="68">
        <f>7.712 * CHOOSE(CONTROL!$C$22, $C$13, 100%, $E$13)</f>
        <v>7.7119999999999997</v>
      </c>
      <c r="K429" s="68">
        <f>7.7188 * CHOOSE(CONTROL!$C$22, $C$13, 100%, $E$13)</f>
        <v>7.7187999999999999</v>
      </c>
    </row>
    <row r="430" spans="1:11" ht="15">
      <c r="A430" s="13">
        <v>54210</v>
      </c>
      <c r="B430" s="67">
        <f>6.3368 * CHOOSE(CONTROL!$C$22, $C$13, 100%, $E$13)</f>
        <v>6.3368000000000002</v>
      </c>
      <c r="C430" s="67">
        <f>6.3368 * CHOOSE(CONTROL!$C$22, $C$13, 100%, $E$13)</f>
        <v>6.3368000000000002</v>
      </c>
      <c r="D430" s="67">
        <f>6.3423 * CHOOSE(CONTROL!$C$22, $C$13, 100%, $E$13)</f>
        <v>6.3422999999999998</v>
      </c>
      <c r="E430" s="68">
        <f>7.6773 * CHOOSE(CONTROL!$C$22, $C$13, 100%, $E$13)</f>
        <v>7.6772999999999998</v>
      </c>
      <c r="F430" s="68">
        <f>7.6773 * CHOOSE(CONTROL!$C$22, $C$13, 100%, $E$13)</f>
        <v>7.6772999999999998</v>
      </c>
      <c r="G430" s="68">
        <f>7.684 * CHOOSE(CONTROL!$C$22, $C$13, 100%, $E$13)</f>
        <v>7.6840000000000002</v>
      </c>
      <c r="H430" s="68">
        <f>11.657* CHOOSE(CONTROL!$C$22, $C$13, 100%, $E$13)</f>
        <v>11.657</v>
      </c>
      <c r="I430" s="68">
        <f>11.6637 * CHOOSE(CONTROL!$C$22, $C$13, 100%, $E$13)</f>
        <v>11.6637</v>
      </c>
      <c r="J430" s="68">
        <f>7.6773 * CHOOSE(CONTROL!$C$22, $C$13, 100%, $E$13)</f>
        <v>7.6772999999999998</v>
      </c>
      <c r="K430" s="68">
        <f>7.684 * CHOOSE(CONTROL!$C$22, $C$13, 100%, $E$13)</f>
        <v>7.6840000000000002</v>
      </c>
    </row>
    <row r="431" spans="1:11" ht="15">
      <c r="A431" s="13">
        <v>54240</v>
      </c>
      <c r="B431" s="67">
        <f>6.4385 * CHOOSE(CONTROL!$C$22, $C$13, 100%, $E$13)</f>
        <v>6.4385000000000003</v>
      </c>
      <c r="C431" s="67">
        <f>6.4385 * CHOOSE(CONTROL!$C$22, $C$13, 100%, $E$13)</f>
        <v>6.4385000000000003</v>
      </c>
      <c r="D431" s="67">
        <f>6.444 * CHOOSE(CONTROL!$C$22, $C$13, 100%, $E$13)</f>
        <v>6.444</v>
      </c>
      <c r="E431" s="68">
        <f>7.8054 * CHOOSE(CONTROL!$C$22, $C$13, 100%, $E$13)</f>
        <v>7.8053999999999997</v>
      </c>
      <c r="F431" s="68">
        <f>7.8054 * CHOOSE(CONTROL!$C$22, $C$13, 100%, $E$13)</f>
        <v>7.8053999999999997</v>
      </c>
      <c r="G431" s="68">
        <f>7.8122 * CHOOSE(CONTROL!$C$22, $C$13, 100%, $E$13)</f>
        <v>7.8121999999999998</v>
      </c>
      <c r="H431" s="68">
        <f>11.6812* CHOOSE(CONTROL!$C$22, $C$13, 100%, $E$13)</f>
        <v>11.6812</v>
      </c>
      <c r="I431" s="68">
        <f>11.688 * CHOOSE(CONTROL!$C$22, $C$13, 100%, $E$13)</f>
        <v>11.688000000000001</v>
      </c>
      <c r="J431" s="68">
        <f>7.8054 * CHOOSE(CONTROL!$C$22, $C$13, 100%, $E$13)</f>
        <v>7.8053999999999997</v>
      </c>
      <c r="K431" s="68">
        <f>7.8122 * CHOOSE(CONTROL!$C$22, $C$13, 100%, $E$13)</f>
        <v>7.8121999999999998</v>
      </c>
    </row>
    <row r="432" spans="1:11" ht="15">
      <c r="A432" s="13">
        <v>54271</v>
      </c>
      <c r="B432" s="67">
        <f>6.4451 * CHOOSE(CONTROL!$C$22, $C$13, 100%, $E$13)</f>
        <v>6.4451000000000001</v>
      </c>
      <c r="C432" s="67">
        <f>6.4451 * CHOOSE(CONTROL!$C$22, $C$13, 100%, $E$13)</f>
        <v>6.4451000000000001</v>
      </c>
      <c r="D432" s="67">
        <f>6.4506 * CHOOSE(CONTROL!$C$22, $C$13, 100%, $E$13)</f>
        <v>6.4505999999999997</v>
      </c>
      <c r="E432" s="68">
        <f>7.6932 * CHOOSE(CONTROL!$C$22, $C$13, 100%, $E$13)</f>
        <v>7.6932</v>
      </c>
      <c r="F432" s="68">
        <f>7.6932 * CHOOSE(CONTROL!$C$22, $C$13, 100%, $E$13)</f>
        <v>7.6932</v>
      </c>
      <c r="G432" s="68">
        <f>7.6999 * CHOOSE(CONTROL!$C$22, $C$13, 100%, $E$13)</f>
        <v>7.6999000000000004</v>
      </c>
      <c r="H432" s="68">
        <f>11.7056* CHOOSE(CONTROL!$C$22, $C$13, 100%, $E$13)</f>
        <v>11.7056</v>
      </c>
      <c r="I432" s="68">
        <f>11.7123 * CHOOSE(CONTROL!$C$22, $C$13, 100%, $E$13)</f>
        <v>11.712300000000001</v>
      </c>
      <c r="J432" s="68">
        <f>7.6932 * CHOOSE(CONTROL!$C$22, $C$13, 100%, $E$13)</f>
        <v>7.6932</v>
      </c>
      <c r="K432" s="68">
        <f>7.6999 * CHOOSE(CONTROL!$C$22, $C$13, 100%, $E$13)</f>
        <v>7.6999000000000004</v>
      </c>
    </row>
    <row r="433" spans="1:11" ht="15">
      <c r="A433" s="13">
        <v>54302</v>
      </c>
      <c r="B433" s="67">
        <f>6.4421 * CHOOSE(CONTROL!$C$22, $C$13, 100%, $E$13)</f>
        <v>6.4420999999999999</v>
      </c>
      <c r="C433" s="67">
        <f>6.4421 * CHOOSE(CONTROL!$C$22, $C$13, 100%, $E$13)</f>
        <v>6.4420999999999999</v>
      </c>
      <c r="D433" s="67">
        <f>6.4476 * CHOOSE(CONTROL!$C$22, $C$13, 100%, $E$13)</f>
        <v>6.4476000000000004</v>
      </c>
      <c r="E433" s="68">
        <f>7.678 * CHOOSE(CONTROL!$C$22, $C$13, 100%, $E$13)</f>
        <v>7.6779999999999999</v>
      </c>
      <c r="F433" s="68">
        <f>7.678 * CHOOSE(CONTROL!$C$22, $C$13, 100%, $E$13)</f>
        <v>7.6779999999999999</v>
      </c>
      <c r="G433" s="68">
        <f>7.6848 * CHOOSE(CONTROL!$C$22, $C$13, 100%, $E$13)</f>
        <v>7.6848000000000001</v>
      </c>
      <c r="H433" s="68">
        <f>11.73* CHOOSE(CONTROL!$C$22, $C$13, 100%, $E$13)</f>
        <v>11.73</v>
      </c>
      <c r="I433" s="68">
        <f>11.7367 * CHOOSE(CONTROL!$C$22, $C$13, 100%, $E$13)</f>
        <v>11.736700000000001</v>
      </c>
      <c r="J433" s="68">
        <f>7.678 * CHOOSE(CONTROL!$C$22, $C$13, 100%, $E$13)</f>
        <v>7.6779999999999999</v>
      </c>
      <c r="K433" s="68">
        <f>7.6848 * CHOOSE(CONTROL!$C$22, $C$13, 100%, $E$13)</f>
        <v>7.6848000000000001</v>
      </c>
    </row>
    <row r="434" spans="1:11" ht="15">
      <c r="A434" s="13">
        <v>54332</v>
      </c>
      <c r="B434" s="67">
        <f>6.4452 * CHOOSE(CONTROL!$C$22, $C$13, 100%, $E$13)</f>
        <v>6.4451999999999998</v>
      </c>
      <c r="C434" s="67">
        <f>6.4452 * CHOOSE(CONTROL!$C$22, $C$13, 100%, $E$13)</f>
        <v>6.4451999999999998</v>
      </c>
      <c r="D434" s="67">
        <f>6.4491 * CHOOSE(CONTROL!$C$22, $C$13, 100%, $E$13)</f>
        <v>6.4490999999999996</v>
      </c>
      <c r="E434" s="68">
        <f>7.7166 * CHOOSE(CONTROL!$C$22, $C$13, 100%, $E$13)</f>
        <v>7.7165999999999997</v>
      </c>
      <c r="F434" s="68">
        <f>7.7166 * CHOOSE(CONTROL!$C$22, $C$13, 100%, $E$13)</f>
        <v>7.7165999999999997</v>
      </c>
      <c r="G434" s="68">
        <f>7.7214 * CHOOSE(CONTROL!$C$22, $C$13, 100%, $E$13)</f>
        <v>7.7214</v>
      </c>
      <c r="H434" s="68">
        <f>11.7544* CHOOSE(CONTROL!$C$22, $C$13, 100%, $E$13)</f>
        <v>11.7544</v>
      </c>
      <c r="I434" s="68">
        <f>11.7592 * CHOOSE(CONTROL!$C$22, $C$13, 100%, $E$13)</f>
        <v>11.7592</v>
      </c>
      <c r="J434" s="68">
        <f>7.7166 * CHOOSE(CONTROL!$C$22, $C$13, 100%, $E$13)</f>
        <v>7.7165999999999997</v>
      </c>
      <c r="K434" s="68">
        <f>7.7214 * CHOOSE(CONTROL!$C$22, $C$13, 100%, $E$13)</f>
        <v>7.7214</v>
      </c>
    </row>
    <row r="435" spans="1:11" ht="15">
      <c r="A435" s="13">
        <v>54363</v>
      </c>
      <c r="B435" s="67">
        <f>6.4483 * CHOOSE(CONTROL!$C$22, $C$13, 100%, $E$13)</f>
        <v>6.4482999999999997</v>
      </c>
      <c r="C435" s="67">
        <f>6.4483 * CHOOSE(CONTROL!$C$22, $C$13, 100%, $E$13)</f>
        <v>6.4482999999999997</v>
      </c>
      <c r="D435" s="67">
        <f>6.4521 * CHOOSE(CONTROL!$C$22, $C$13, 100%, $E$13)</f>
        <v>6.4520999999999997</v>
      </c>
      <c r="E435" s="68">
        <f>7.7447 * CHOOSE(CONTROL!$C$22, $C$13, 100%, $E$13)</f>
        <v>7.7446999999999999</v>
      </c>
      <c r="F435" s="68">
        <f>7.7447 * CHOOSE(CONTROL!$C$22, $C$13, 100%, $E$13)</f>
        <v>7.7446999999999999</v>
      </c>
      <c r="G435" s="68">
        <f>7.7495 * CHOOSE(CONTROL!$C$22, $C$13, 100%, $E$13)</f>
        <v>7.7495000000000003</v>
      </c>
      <c r="H435" s="68">
        <f>11.7789* CHOOSE(CONTROL!$C$22, $C$13, 100%, $E$13)</f>
        <v>11.7789</v>
      </c>
      <c r="I435" s="68">
        <f>11.7837 * CHOOSE(CONTROL!$C$22, $C$13, 100%, $E$13)</f>
        <v>11.7837</v>
      </c>
      <c r="J435" s="68">
        <f>7.7447 * CHOOSE(CONTROL!$C$22, $C$13, 100%, $E$13)</f>
        <v>7.7446999999999999</v>
      </c>
      <c r="K435" s="68">
        <f>7.7495 * CHOOSE(CONTROL!$C$22, $C$13, 100%, $E$13)</f>
        <v>7.7495000000000003</v>
      </c>
    </row>
    <row r="436" spans="1:11" ht="15">
      <c r="A436" s="13">
        <v>54393</v>
      </c>
      <c r="B436" s="67">
        <f>6.4483 * CHOOSE(CONTROL!$C$22, $C$13, 100%, $E$13)</f>
        <v>6.4482999999999997</v>
      </c>
      <c r="C436" s="67">
        <f>6.4483 * CHOOSE(CONTROL!$C$22, $C$13, 100%, $E$13)</f>
        <v>6.4482999999999997</v>
      </c>
      <c r="D436" s="67">
        <f>6.4521 * CHOOSE(CONTROL!$C$22, $C$13, 100%, $E$13)</f>
        <v>6.4520999999999997</v>
      </c>
      <c r="E436" s="68">
        <f>7.6797 * CHOOSE(CONTROL!$C$22, $C$13, 100%, $E$13)</f>
        <v>7.6797000000000004</v>
      </c>
      <c r="F436" s="68">
        <f>7.6797 * CHOOSE(CONTROL!$C$22, $C$13, 100%, $E$13)</f>
        <v>7.6797000000000004</v>
      </c>
      <c r="G436" s="68">
        <f>7.6845 * CHOOSE(CONTROL!$C$22, $C$13, 100%, $E$13)</f>
        <v>7.6844999999999999</v>
      </c>
      <c r="H436" s="68">
        <f>11.8034* CHOOSE(CONTROL!$C$22, $C$13, 100%, $E$13)</f>
        <v>11.8034</v>
      </c>
      <c r="I436" s="68">
        <f>11.8082 * CHOOSE(CONTROL!$C$22, $C$13, 100%, $E$13)</f>
        <v>11.808199999999999</v>
      </c>
      <c r="J436" s="68">
        <f>7.6797 * CHOOSE(CONTROL!$C$22, $C$13, 100%, $E$13)</f>
        <v>7.6797000000000004</v>
      </c>
      <c r="K436" s="68">
        <f>7.6845 * CHOOSE(CONTROL!$C$22, $C$13, 100%, $E$13)</f>
        <v>7.6844999999999999</v>
      </c>
    </row>
    <row r="437" spans="1:11" ht="15">
      <c r="A437" s="13">
        <v>54424</v>
      </c>
      <c r="B437" s="67">
        <f>6.5044 * CHOOSE(CONTROL!$C$22, $C$13, 100%, $E$13)</f>
        <v>6.5044000000000004</v>
      </c>
      <c r="C437" s="67">
        <f>6.5044 * CHOOSE(CONTROL!$C$22, $C$13, 100%, $E$13)</f>
        <v>6.5044000000000004</v>
      </c>
      <c r="D437" s="67">
        <f>6.5083 * CHOOSE(CONTROL!$C$22, $C$13, 100%, $E$13)</f>
        <v>6.5083000000000002</v>
      </c>
      <c r="E437" s="68">
        <f>7.7893 * CHOOSE(CONTROL!$C$22, $C$13, 100%, $E$13)</f>
        <v>7.7892999999999999</v>
      </c>
      <c r="F437" s="68">
        <f>7.7893 * CHOOSE(CONTROL!$C$22, $C$13, 100%, $E$13)</f>
        <v>7.7892999999999999</v>
      </c>
      <c r="G437" s="68">
        <f>7.7941 * CHOOSE(CONTROL!$C$22, $C$13, 100%, $E$13)</f>
        <v>7.7941000000000003</v>
      </c>
      <c r="H437" s="68">
        <f>11.828* CHOOSE(CONTROL!$C$22, $C$13, 100%, $E$13)</f>
        <v>11.827999999999999</v>
      </c>
      <c r="I437" s="68">
        <f>11.8328 * CHOOSE(CONTROL!$C$22, $C$13, 100%, $E$13)</f>
        <v>11.832800000000001</v>
      </c>
      <c r="J437" s="68">
        <f>7.7893 * CHOOSE(CONTROL!$C$22, $C$13, 100%, $E$13)</f>
        <v>7.7892999999999999</v>
      </c>
      <c r="K437" s="68">
        <f>7.7941 * CHOOSE(CONTROL!$C$22, $C$13, 100%, $E$13)</f>
        <v>7.7941000000000003</v>
      </c>
    </row>
    <row r="438" spans="1:11" ht="15">
      <c r="A438" s="13">
        <v>54455</v>
      </c>
      <c r="B438" s="67">
        <f>6.5014 * CHOOSE(CONTROL!$C$22, $C$13, 100%, $E$13)</f>
        <v>6.5014000000000003</v>
      </c>
      <c r="C438" s="67">
        <f>6.5014 * CHOOSE(CONTROL!$C$22, $C$13, 100%, $E$13)</f>
        <v>6.5014000000000003</v>
      </c>
      <c r="D438" s="67">
        <f>6.5053 * CHOOSE(CONTROL!$C$22, $C$13, 100%, $E$13)</f>
        <v>6.5053000000000001</v>
      </c>
      <c r="E438" s="68">
        <f>7.661 * CHOOSE(CONTROL!$C$22, $C$13, 100%, $E$13)</f>
        <v>7.6609999999999996</v>
      </c>
      <c r="F438" s="68">
        <f>7.661 * CHOOSE(CONTROL!$C$22, $C$13, 100%, $E$13)</f>
        <v>7.6609999999999996</v>
      </c>
      <c r="G438" s="68">
        <f>7.6658 * CHOOSE(CONTROL!$C$22, $C$13, 100%, $E$13)</f>
        <v>7.6657999999999999</v>
      </c>
      <c r="H438" s="68">
        <f>11.8527* CHOOSE(CONTROL!$C$22, $C$13, 100%, $E$13)</f>
        <v>11.8527</v>
      </c>
      <c r="I438" s="68">
        <f>11.8574 * CHOOSE(CONTROL!$C$22, $C$13, 100%, $E$13)</f>
        <v>11.8574</v>
      </c>
      <c r="J438" s="68">
        <f>7.661 * CHOOSE(CONTROL!$C$22, $C$13, 100%, $E$13)</f>
        <v>7.6609999999999996</v>
      </c>
      <c r="K438" s="68">
        <f>7.6658 * CHOOSE(CONTROL!$C$22, $C$13, 100%, $E$13)</f>
        <v>7.6657999999999999</v>
      </c>
    </row>
    <row r="439" spans="1:11" ht="15">
      <c r="A439" s="13">
        <v>54483</v>
      </c>
      <c r="B439" s="67">
        <f>6.4984 * CHOOSE(CONTROL!$C$22, $C$13, 100%, $E$13)</f>
        <v>6.4984000000000002</v>
      </c>
      <c r="C439" s="67">
        <f>6.4984 * CHOOSE(CONTROL!$C$22, $C$13, 100%, $E$13)</f>
        <v>6.4984000000000002</v>
      </c>
      <c r="D439" s="67">
        <f>6.5022 * CHOOSE(CONTROL!$C$22, $C$13, 100%, $E$13)</f>
        <v>6.5022000000000002</v>
      </c>
      <c r="E439" s="68">
        <f>7.7584 * CHOOSE(CONTROL!$C$22, $C$13, 100%, $E$13)</f>
        <v>7.7584</v>
      </c>
      <c r="F439" s="68">
        <f>7.7584 * CHOOSE(CONTROL!$C$22, $C$13, 100%, $E$13)</f>
        <v>7.7584</v>
      </c>
      <c r="G439" s="68">
        <f>7.7632 * CHOOSE(CONTROL!$C$22, $C$13, 100%, $E$13)</f>
        <v>7.7632000000000003</v>
      </c>
      <c r="H439" s="68">
        <f>11.8774* CHOOSE(CONTROL!$C$22, $C$13, 100%, $E$13)</f>
        <v>11.8774</v>
      </c>
      <c r="I439" s="68">
        <f>11.8821 * CHOOSE(CONTROL!$C$22, $C$13, 100%, $E$13)</f>
        <v>11.882099999999999</v>
      </c>
      <c r="J439" s="68">
        <f>7.7584 * CHOOSE(CONTROL!$C$22, $C$13, 100%, $E$13)</f>
        <v>7.7584</v>
      </c>
      <c r="K439" s="68">
        <f>7.7632 * CHOOSE(CONTROL!$C$22, $C$13, 100%, $E$13)</f>
        <v>7.7632000000000003</v>
      </c>
    </row>
    <row r="440" spans="1:11" ht="15">
      <c r="A440" s="13">
        <v>54514</v>
      </c>
      <c r="B440" s="67">
        <f>6.4982 * CHOOSE(CONTROL!$C$22, $C$13, 100%, $E$13)</f>
        <v>6.4981999999999998</v>
      </c>
      <c r="C440" s="67">
        <f>6.4982 * CHOOSE(CONTROL!$C$22, $C$13, 100%, $E$13)</f>
        <v>6.4981999999999998</v>
      </c>
      <c r="D440" s="67">
        <f>6.502 * CHOOSE(CONTROL!$C$22, $C$13, 100%, $E$13)</f>
        <v>6.5019999999999998</v>
      </c>
      <c r="E440" s="68">
        <f>7.861 * CHOOSE(CONTROL!$C$22, $C$13, 100%, $E$13)</f>
        <v>7.8609999999999998</v>
      </c>
      <c r="F440" s="68">
        <f>7.861 * CHOOSE(CONTROL!$C$22, $C$13, 100%, $E$13)</f>
        <v>7.8609999999999998</v>
      </c>
      <c r="G440" s="68">
        <f>7.8658 * CHOOSE(CONTROL!$C$22, $C$13, 100%, $E$13)</f>
        <v>7.8658000000000001</v>
      </c>
      <c r="H440" s="68">
        <f>11.9021* CHOOSE(CONTROL!$C$22, $C$13, 100%, $E$13)</f>
        <v>11.902100000000001</v>
      </c>
      <c r="I440" s="68">
        <f>11.9069 * CHOOSE(CONTROL!$C$22, $C$13, 100%, $E$13)</f>
        <v>11.9069</v>
      </c>
      <c r="J440" s="68">
        <f>7.861 * CHOOSE(CONTROL!$C$22, $C$13, 100%, $E$13)</f>
        <v>7.8609999999999998</v>
      </c>
      <c r="K440" s="68">
        <f>7.8658 * CHOOSE(CONTROL!$C$22, $C$13, 100%, $E$13)</f>
        <v>7.8658000000000001</v>
      </c>
    </row>
    <row r="441" spans="1:11" ht="15">
      <c r="A441" s="13">
        <v>54544</v>
      </c>
      <c r="B441" s="67">
        <f>6.4982 * CHOOSE(CONTROL!$C$22, $C$13, 100%, $E$13)</f>
        <v>6.4981999999999998</v>
      </c>
      <c r="C441" s="67">
        <f>6.4982 * CHOOSE(CONTROL!$C$22, $C$13, 100%, $E$13)</f>
        <v>6.4981999999999998</v>
      </c>
      <c r="D441" s="67">
        <f>6.5037 * CHOOSE(CONTROL!$C$22, $C$13, 100%, $E$13)</f>
        <v>6.5037000000000003</v>
      </c>
      <c r="E441" s="68">
        <f>7.9011 * CHOOSE(CONTROL!$C$22, $C$13, 100%, $E$13)</f>
        <v>7.9010999999999996</v>
      </c>
      <c r="F441" s="68">
        <f>7.9011 * CHOOSE(CONTROL!$C$22, $C$13, 100%, $E$13)</f>
        <v>7.9010999999999996</v>
      </c>
      <c r="G441" s="68">
        <f>7.9078 * CHOOSE(CONTROL!$C$22, $C$13, 100%, $E$13)</f>
        <v>7.9077999999999999</v>
      </c>
      <c r="H441" s="68">
        <f>11.9269* CHOOSE(CONTROL!$C$22, $C$13, 100%, $E$13)</f>
        <v>11.9269</v>
      </c>
      <c r="I441" s="68">
        <f>11.9336 * CHOOSE(CONTROL!$C$22, $C$13, 100%, $E$13)</f>
        <v>11.9336</v>
      </c>
      <c r="J441" s="68">
        <f>7.9011 * CHOOSE(CONTROL!$C$22, $C$13, 100%, $E$13)</f>
        <v>7.9010999999999996</v>
      </c>
      <c r="K441" s="68">
        <f>7.9078 * CHOOSE(CONTROL!$C$22, $C$13, 100%, $E$13)</f>
        <v>7.9077999999999999</v>
      </c>
    </row>
    <row r="442" spans="1:11" ht="15">
      <c r="A442" s="13">
        <v>54575</v>
      </c>
      <c r="B442" s="67">
        <f>6.5042 * CHOOSE(CONTROL!$C$22, $C$13, 100%, $E$13)</f>
        <v>6.5042</v>
      </c>
      <c r="C442" s="67">
        <f>6.5042 * CHOOSE(CONTROL!$C$22, $C$13, 100%, $E$13)</f>
        <v>6.5042</v>
      </c>
      <c r="D442" s="67">
        <f>6.5098 * CHOOSE(CONTROL!$C$22, $C$13, 100%, $E$13)</f>
        <v>6.5098000000000003</v>
      </c>
      <c r="E442" s="68">
        <f>7.8653 * CHOOSE(CONTROL!$C$22, $C$13, 100%, $E$13)</f>
        <v>7.8653000000000004</v>
      </c>
      <c r="F442" s="68">
        <f>7.8653 * CHOOSE(CONTROL!$C$22, $C$13, 100%, $E$13)</f>
        <v>7.8653000000000004</v>
      </c>
      <c r="G442" s="68">
        <f>7.872 * CHOOSE(CONTROL!$C$22, $C$13, 100%, $E$13)</f>
        <v>7.8719999999999999</v>
      </c>
      <c r="H442" s="68">
        <f>11.9518* CHOOSE(CONTROL!$C$22, $C$13, 100%, $E$13)</f>
        <v>11.9518</v>
      </c>
      <c r="I442" s="68">
        <f>11.9585 * CHOOSE(CONTROL!$C$22, $C$13, 100%, $E$13)</f>
        <v>11.958500000000001</v>
      </c>
      <c r="J442" s="68">
        <f>7.8653 * CHOOSE(CONTROL!$C$22, $C$13, 100%, $E$13)</f>
        <v>7.8653000000000004</v>
      </c>
      <c r="K442" s="68">
        <f>7.872 * CHOOSE(CONTROL!$C$22, $C$13, 100%, $E$13)</f>
        <v>7.8719999999999999</v>
      </c>
    </row>
    <row r="443" spans="1:11" ht="15">
      <c r="A443" s="13">
        <v>54605</v>
      </c>
      <c r="B443" s="67">
        <f>6.6083 * CHOOSE(CONTROL!$C$22, $C$13, 100%, $E$13)</f>
        <v>6.6082999999999998</v>
      </c>
      <c r="C443" s="67">
        <f>6.6083 * CHOOSE(CONTROL!$C$22, $C$13, 100%, $E$13)</f>
        <v>6.6082999999999998</v>
      </c>
      <c r="D443" s="67">
        <f>6.6138 * CHOOSE(CONTROL!$C$22, $C$13, 100%, $E$13)</f>
        <v>6.6138000000000003</v>
      </c>
      <c r="E443" s="68">
        <f>7.9963 * CHOOSE(CONTROL!$C$22, $C$13, 100%, $E$13)</f>
        <v>7.9962999999999997</v>
      </c>
      <c r="F443" s="68">
        <f>7.9963 * CHOOSE(CONTROL!$C$22, $C$13, 100%, $E$13)</f>
        <v>7.9962999999999997</v>
      </c>
      <c r="G443" s="68">
        <f>8.003 * CHOOSE(CONTROL!$C$22, $C$13, 100%, $E$13)</f>
        <v>8.0030000000000001</v>
      </c>
      <c r="H443" s="68">
        <f>11.9767* CHOOSE(CONTROL!$C$22, $C$13, 100%, $E$13)</f>
        <v>11.976699999999999</v>
      </c>
      <c r="I443" s="68">
        <f>11.9834 * CHOOSE(CONTROL!$C$22, $C$13, 100%, $E$13)</f>
        <v>11.9834</v>
      </c>
      <c r="J443" s="68">
        <f>7.9963 * CHOOSE(CONTROL!$C$22, $C$13, 100%, $E$13)</f>
        <v>7.9962999999999997</v>
      </c>
      <c r="K443" s="68">
        <f>8.003 * CHOOSE(CONTROL!$C$22, $C$13, 100%, $E$13)</f>
        <v>8.0030000000000001</v>
      </c>
    </row>
    <row r="444" spans="1:11" ht="15">
      <c r="A444" s="13">
        <v>54636</v>
      </c>
      <c r="B444" s="67">
        <f>6.615 * CHOOSE(CONTROL!$C$22, $C$13, 100%, $E$13)</f>
        <v>6.6150000000000002</v>
      </c>
      <c r="C444" s="67">
        <f>6.615 * CHOOSE(CONTROL!$C$22, $C$13, 100%, $E$13)</f>
        <v>6.6150000000000002</v>
      </c>
      <c r="D444" s="67">
        <f>6.6205 * CHOOSE(CONTROL!$C$22, $C$13, 100%, $E$13)</f>
        <v>6.6204999999999998</v>
      </c>
      <c r="E444" s="68">
        <f>7.8807 * CHOOSE(CONTROL!$C$22, $C$13, 100%, $E$13)</f>
        <v>7.8807</v>
      </c>
      <c r="F444" s="68">
        <f>7.8807 * CHOOSE(CONTROL!$C$22, $C$13, 100%, $E$13)</f>
        <v>7.8807</v>
      </c>
      <c r="G444" s="68">
        <f>7.8875 * CHOOSE(CONTROL!$C$22, $C$13, 100%, $E$13)</f>
        <v>7.8875000000000002</v>
      </c>
      <c r="H444" s="68">
        <f>12.0016* CHOOSE(CONTROL!$C$22, $C$13, 100%, $E$13)</f>
        <v>12.0016</v>
      </c>
      <c r="I444" s="68">
        <f>12.0083 * CHOOSE(CONTROL!$C$22, $C$13, 100%, $E$13)</f>
        <v>12.0083</v>
      </c>
      <c r="J444" s="68">
        <f>7.8807 * CHOOSE(CONTROL!$C$22, $C$13, 100%, $E$13)</f>
        <v>7.8807</v>
      </c>
      <c r="K444" s="68">
        <f>7.8875 * CHOOSE(CONTROL!$C$22, $C$13, 100%, $E$13)</f>
        <v>7.8875000000000002</v>
      </c>
    </row>
    <row r="445" spans="1:11" ht="15">
      <c r="A445" s="13">
        <v>54667</v>
      </c>
      <c r="B445" s="67">
        <f>6.6119 * CHOOSE(CONTROL!$C$22, $C$13, 100%, $E$13)</f>
        <v>6.6119000000000003</v>
      </c>
      <c r="C445" s="67">
        <f>6.6119 * CHOOSE(CONTROL!$C$22, $C$13, 100%, $E$13)</f>
        <v>6.6119000000000003</v>
      </c>
      <c r="D445" s="67">
        <f>6.6174 * CHOOSE(CONTROL!$C$22, $C$13, 100%, $E$13)</f>
        <v>6.6173999999999999</v>
      </c>
      <c r="E445" s="68">
        <f>7.8653 * CHOOSE(CONTROL!$C$22, $C$13, 100%, $E$13)</f>
        <v>7.8653000000000004</v>
      </c>
      <c r="F445" s="68">
        <f>7.8653 * CHOOSE(CONTROL!$C$22, $C$13, 100%, $E$13)</f>
        <v>7.8653000000000004</v>
      </c>
      <c r="G445" s="68">
        <f>7.872 * CHOOSE(CONTROL!$C$22, $C$13, 100%, $E$13)</f>
        <v>7.8719999999999999</v>
      </c>
      <c r="H445" s="68">
        <f>12.0266* CHOOSE(CONTROL!$C$22, $C$13, 100%, $E$13)</f>
        <v>12.0266</v>
      </c>
      <c r="I445" s="68">
        <f>12.0333 * CHOOSE(CONTROL!$C$22, $C$13, 100%, $E$13)</f>
        <v>12.033300000000001</v>
      </c>
      <c r="J445" s="68">
        <f>7.8653 * CHOOSE(CONTROL!$C$22, $C$13, 100%, $E$13)</f>
        <v>7.8653000000000004</v>
      </c>
      <c r="K445" s="68">
        <f>7.872 * CHOOSE(CONTROL!$C$22, $C$13, 100%, $E$13)</f>
        <v>7.8719999999999999</v>
      </c>
    </row>
    <row r="446" spans="1:11" ht="15">
      <c r="A446" s="13">
        <v>54697</v>
      </c>
      <c r="B446" s="67">
        <f>6.6156 * CHOOSE(CONTROL!$C$22, $C$13, 100%, $E$13)</f>
        <v>6.6155999999999997</v>
      </c>
      <c r="C446" s="67">
        <f>6.6156 * CHOOSE(CONTROL!$C$22, $C$13, 100%, $E$13)</f>
        <v>6.6155999999999997</v>
      </c>
      <c r="D446" s="67">
        <f>6.6195 * CHOOSE(CONTROL!$C$22, $C$13, 100%, $E$13)</f>
        <v>6.6195000000000004</v>
      </c>
      <c r="E446" s="68">
        <f>7.9053 * CHOOSE(CONTROL!$C$22, $C$13, 100%, $E$13)</f>
        <v>7.9053000000000004</v>
      </c>
      <c r="F446" s="68">
        <f>7.9053 * CHOOSE(CONTROL!$C$22, $C$13, 100%, $E$13)</f>
        <v>7.9053000000000004</v>
      </c>
      <c r="G446" s="68">
        <f>7.91 * CHOOSE(CONTROL!$C$22, $C$13, 100%, $E$13)</f>
        <v>7.91</v>
      </c>
      <c r="H446" s="68">
        <f>12.0517* CHOOSE(CONTROL!$C$22, $C$13, 100%, $E$13)</f>
        <v>12.0517</v>
      </c>
      <c r="I446" s="68">
        <f>12.0564 * CHOOSE(CONTROL!$C$22, $C$13, 100%, $E$13)</f>
        <v>12.0564</v>
      </c>
      <c r="J446" s="68">
        <f>7.9053 * CHOOSE(CONTROL!$C$22, $C$13, 100%, $E$13)</f>
        <v>7.9053000000000004</v>
      </c>
      <c r="K446" s="68">
        <f>7.91 * CHOOSE(CONTROL!$C$22, $C$13, 100%, $E$13)</f>
        <v>7.91</v>
      </c>
    </row>
    <row r="447" spans="1:11" ht="15">
      <c r="A447" s="13">
        <v>54728</v>
      </c>
      <c r="B447" s="67">
        <f>6.6186 * CHOOSE(CONTROL!$C$22, $C$13, 100%, $E$13)</f>
        <v>6.6185999999999998</v>
      </c>
      <c r="C447" s="67">
        <f>6.6186 * CHOOSE(CONTROL!$C$22, $C$13, 100%, $E$13)</f>
        <v>6.6185999999999998</v>
      </c>
      <c r="D447" s="67">
        <f>6.6225 * CHOOSE(CONTROL!$C$22, $C$13, 100%, $E$13)</f>
        <v>6.6224999999999996</v>
      </c>
      <c r="E447" s="68">
        <f>7.9341 * CHOOSE(CONTROL!$C$22, $C$13, 100%, $E$13)</f>
        <v>7.9340999999999999</v>
      </c>
      <c r="F447" s="68">
        <f>7.9341 * CHOOSE(CONTROL!$C$22, $C$13, 100%, $E$13)</f>
        <v>7.9340999999999999</v>
      </c>
      <c r="G447" s="68">
        <f>7.9389 * CHOOSE(CONTROL!$C$22, $C$13, 100%, $E$13)</f>
        <v>7.9389000000000003</v>
      </c>
      <c r="H447" s="68">
        <f>12.0768* CHOOSE(CONTROL!$C$22, $C$13, 100%, $E$13)</f>
        <v>12.0768</v>
      </c>
      <c r="I447" s="68">
        <f>12.0815 * CHOOSE(CONTROL!$C$22, $C$13, 100%, $E$13)</f>
        <v>12.0815</v>
      </c>
      <c r="J447" s="68">
        <f>7.9341 * CHOOSE(CONTROL!$C$22, $C$13, 100%, $E$13)</f>
        <v>7.9340999999999999</v>
      </c>
      <c r="K447" s="68">
        <f>7.9389 * CHOOSE(CONTROL!$C$22, $C$13, 100%, $E$13)</f>
        <v>7.9389000000000003</v>
      </c>
    </row>
    <row r="448" spans="1:11" ht="15">
      <c r="A448" s="13">
        <v>54758</v>
      </c>
      <c r="B448" s="67">
        <f>6.6186 * CHOOSE(CONTROL!$C$22, $C$13, 100%, $E$13)</f>
        <v>6.6185999999999998</v>
      </c>
      <c r="C448" s="67">
        <f>6.6186 * CHOOSE(CONTROL!$C$22, $C$13, 100%, $E$13)</f>
        <v>6.6185999999999998</v>
      </c>
      <c r="D448" s="67">
        <f>6.6225 * CHOOSE(CONTROL!$C$22, $C$13, 100%, $E$13)</f>
        <v>6.6224999999999996</v>
      </c>
      <c r="E448" s="68">
        <f>7.8673 * CHOOSE(CONTROL!$C$22, $C$13, 100%, $E$13)</f>
        <v>7.8673000000000002</v>
      </c>
      <c r="F448" s="68">
        <f>7.8673 * CHOOSE(CONTROL!$C$22, $C$13, 100%, $E$13)</f>
        <v>7.8673000000000002</v>
      </c>
      <c r="G448" s="68">
        <f>7.8721 * CHOOSE(CONTROL!$C$22, $C$13, 100%, $E$13)</f>
        <v>7.8720999999999997</v>
      </c>
      <c r="H448" s="68">
        <f>12.1019* CHOOSE(CONTROL!$C$22, $C$13, 100%, $E$13)</f>
        <v>12.101900000000001</v>
      </c>
      <c r="I448" s="68">
        <f>12.1067 * CHOOSE(CONTROL!$C$22, $C$13, 100%, $E$13)</f>
        <v>12.1067</v>
      </c>
      <c r="J448" s="68">
        <f>7.8673 * CHOOSE(CONTROL!$C$22, $C$13, 100%, $E$13)</f>
        <v>7.8673000000000002</v>
      </c>
      <c r="K448" s="68">
        <f>7.8721 * CHOOSE(CONTROL!$C$22, $C$13, 100%, $E$13)</f>
        <v>7.8720999999999997</v>
      </c>
    </row>
    <row r="449" spans="1:11" ht="15">
      <c r="A449" s="13">
        <v>54789</v>
      </c>
      <c r="B449" s="67">
        <f>6.6762 * CHOOSE(CONTROL!$C$22, $C$13, 100%, $E$13)</f>
        <v>6.6761999999999997</v>
      </c>
      <c r="C449" s="67">
        <f>6.6762 * CHOOSE(CONTROL!$C$22, $C$13, 100%, $E$13)</f>
        <v>6.6761999999999997</v>
      </c>
      <c r="D449" s="67">
        <f>6.68 * CHOOSE(CONTROL!$C$22, $C$13, 100%, $E$13)</f>
        <v>6.68</v>
      </c>
      <c r="E449" s="68">
        <f>7.9797 * CHOOSE(CONTROL!$C$22, $C$13, 100%, $E$13)</f>
        <v>7.9797000000000002</v>
      </c>
      <c r="F449" s="68">
        <f>7.9797 * CHOOSE(CONTROL!$C$22, $C$13, 100%, $E$13)</f>
        <v>7.9797000000000002</v>
      </c>
      <c r="G449" s="68">
        <f>7.9845 * CHOOSE(CONTROL!$C$22, $C$13, 100%, $E$13)</f>
        <v>7.9844999999999997</v>
      </c>
      <c r="H449" s="68">
        <f>12.1271* CHOOSE(CONTROL!$C$22, $C$13, 100%, $E$13)</f>
        <v>12.1271</v>
      </c>
      <c r="I449" s="68">
        <f>12.1319 * CHOOSE(CONTROL!$C$22, $C$13, 100%, $E$13)</f>
        <v>12.1319</v>
      </c>
      <c r="J449" s="68">
        <f>7.9797 * CHOOSE(CONTROL!$C$22, $C$13, 100%, $E$13)</f>
        <v>7.9797000000000002</v>
      </c>
      <c r="K449" s="68">
        <f>7.9845 * CHOOSE(CONTROL!$C$22, $C$13, 100%, $E$13)</f>
        <v>7.9844999999999997</v>
      </c>
    </row>
    <row r="450" spans="1:11" ht="15">
      <c r="A450" s="13">
        <v>54820</v>
      </c>
      <c r="B450" s="67">
        <f>6.6731 * CHOOSE(CONTROL!$C$22, $C$13, 100%, $E$13)</f>
        <v>6.6730999999999998</v>
      </c>
      <c r="C450" s="67">
        <f>6.6731 * CHOOSE(CONTROL!$C$22, $C$13, 100%, $E$13)</f>
        <v>6.6730999999999998</v>
      </c>
      <c r="D450" s="67">
        <f>6.677 * CHOOSE(CONTROL!$C$22, $C$13, 100%, $E$13)</f>
        <v>6.6769999999999996</v>
      </c>
      <c r="E450" s="68">
        <f>7.8478 * CHOOSE(CONTROL!$C$22, $C$13, 100%, $E$13)</f>
        <v>7.8478000000000003</v>
      </c>
      <c r="F450" s="68">
        <f>7.8478 * CHOOSE(CONTROL!$C$22, $C$13, 100%, $E$13)</f>
        <v>7.8478000000000003</v>
      </c>
      <c r="G450" s="68">
        <f>7.8526 * CHOOSE(CONTROL!$C$22, $C$13, 100%, $E$13)</f>
        <v>7.8525999999999998</v>
      </c>
      <c r="H450" s="68">
        <f>12.1524* CHOOSE(CONTROL!$C$22, $C$13, 100%, $E$13)</f>
        <v>12.1524</v>
      </c>
      <c r="I450" s="68">
        <f>12.1572 * CHOOSE(CONTROL!$C$22, $C$13, 100%, $E$13)</f>
        <v>12.1572</v>
      </c>
      <c r="J450" s="68">
        <f>7.8478 * CHOOSE(CONTROL!$C$22, $C$13, 100%, $E$13)</f>
        <v>7.8478000000000003</v>
      </c>
      <c r="K450" s="68">
        <f>7.8526 * CHOOSE(CONTROL!$C$22, $C$13, 100%, $E$13)</f>
        <v>7.8525999999999998</v>
      </c>
    </row>
    <row r="451" spans="1:11" ht="15">
      <c r="A451" s="13">
        <v>54848</v>
      </c>
      <c r="B451" s="67">
        <f>6.6701 * CHOOSE(CONTROL!$C$22, $C$13, 100%, $E$13)</f>
        <v>6.6700999999999997</v>
      </c>
      <c r="C451" s="67">
        <f>6.6701 * CHOOSE(CONTROL!$C$22, $C$13, 100%, $E$13)</f>
        <v>6.6700999999999997</v>
      </c>
      <c r="D451" s="67">
        <f>6.674 * CHOOSE(CONTROL!$C$22, $C$13, 100%, $E$13)</f>
        <v>6.6740000000000004</v>
      </c>
      <c r="E451" s="68">
        <f>7.948 * CHOOSE(CONTROL!$C$22, $C$13, 100%, $E$13)</f>
        <v>7.9480000000000004</v>
      </c>
      <c r="F451" s="68">
        <f>7.948 * CHOOSE(CONTROL!$C$22, $C$13, 100%, $E$13)</f>
        <v>7.9480000000000004</v>
      </c>
      <c r="G451" s="68">
        <f>7.9528 * CHOOSE(CONTROL!$C$22, $C$13, 100%, $E$13)</f>
        <v>7.9527999999999999</v>
      </c>
      <c r="H451" s="68">
        <f>12.1777* CHOOSE(CONTROL!$C$22, $C$13, 100%, $E$13)</f>
        <v>12.1777</v>
      </c>
      <c r="I451" s="68">
        <f>12.1825 * CHOOSE(CONTROL!$C$22, $C$13, 100%, $E$13)</f>
        <v>12.182499999999999</v>
      </c>
      <c r="J451" s="68">
        <f>7.948 * CHOOSE(CONTROL!$C$22, $C$13, 100%, $E$13)</f>
        <v>7.9480000000000004</v>
      </c>
      <c r="K451" s="68">
        <f>7.9528 * CHOOSE(CONTROL!$C$22, $C$13, 100%, $E$13)</f>
        <v>7.9527999999999999</v>
      </c>
    </row>
    <row r="452" spans="1:11" ht="15">
      <c r="A452" s="13">
        <v>54879</v>
      </c>
      <c r="B452" s="67">
        <f>6.67 * CHOOSE(CONTROL!$C$22, $C$13, 100%, $E$13)</f>
        <v>6.67</v>
      </c>
      <c r="C452" s="67">
        <f>6.67 * CHOOSE(CONTROL!$C$22, $C$13, 100%, $E$13)</f>
        <v>6.67</v>
      </c>
      <c r="D452" s="67">
        <f>6.6739 * CHOOSE(CONTROL!$C$22, $C$13, 100%, $E$13)</f>
        <v>6.6738999999999997</v>
      </c>
      <c r="E452" s="68">
        <f>8.0536 * CHOOSE(CONTROL!$C$22, $C$13, 100%, $E$13)</f>
        <v>8.0535999999999994</v>
      </c>
      <c r="F452" s="68">
        <f>8.0536 * CHOOSE(CONTROL!$C$22, $C$13, 100%, $E$13)</f>
        <v>8.0535999999999994</v>
      </c>
      <c r="G452" s="68">
        <f>8.0584 * CHOOSE(CONTROL!$C$22, $C$13, 100%, $E$13)</f>
        <v>8.0584000000000007</v>
      </c>
      <c r="H452" s="68">
        <f>12.2031* CHOOSE(CONTROL!$C$22, $C$13, 100%, $E$13)</f>
        <v>12.203099999999999</v>
      </c>
      <c r="I452" s="68">
        <f>12.2079 * CHOOSE(CONTROL!$C$22, $C$13, 100%, $E$13)</f>
        <v>12.2079</v>
      </c>
      <c r="J452" s="68">
        <f>8.0536 * CHOOSE(CONTROL!$C$22, $C$13, 100%, $E$13)</f>
        <v>8.0535999999999994</v>
      </c>
      <c r="K452" s="68">
        <f>8.0584 * CHOOSE(CONTROL!$C$22, $C$13, 100%, $E$13)</f>
        <v>8.0584000000000007</v>
      </c>
    </row>
    <row r="453" spans="1:11" ht="15">
      <c r="A453" s="13">
        <v>54909</v>
      </c>
      <c r="B453" s="67">
        <f>6.67 * CHOOSE(CONTROL!$C$22, $C$13, 100%, $E$13)</f>
        <v>6.67</v>
      </c>
      <c r="C453" s="67">
        <f>6.67 * CHOOSE(CONTROL!$C$22, $C$13, 100%, $E$13)</f>
        <v>6.67</v>
      </c>
      <c r="D453" s="67">
        <f>6.6756 * CHOOSE(CONTROL!$C$22, $C$13, 100%, $E$13)</f>
        <v>6.6756000000000002</v>
      </c>
      <c r="E453" s="68">
        <f>8.0948 * CHOOSE(CONTROL!$C$22, $C$13, 100%, $E$13)</f>
        <v>8.0947999999999993</v>
      </c>
      <c r="F453" s="68">
        <f>8.0948 * CHOOSE(CONTROL!$C$22, $C$13, 100%, $E$13)</f>
        <v>8.0947999999999993</v>
      </c>
      <c r="G453" s="68">
        <f>8.1016 * CHOOSE(CONTROL!$C$22, $C$13, 100%, $E$13)</f>
        <v>8.1015999999999995</v>
      </c>
      <c r="H453" s="68">
        <f>12.2285* CHOOSE(CONTROL!$C$22, $C$13, 100%, $E$13)</f>
        <v>12.2285</v>
      </c>
      <c r="I453" s="68">
        <f>12.2353 * CHOOSE(CONTROL!$C$22, $C$13, 100%, $E$13)</f>
        <v>12.235300000000001</v>
      </c>
      <c r="J453" s="68">
        <f>8.0948 * CHOOSE(CONTROL!$C$22, $C$13, 100%, $E$13)</f>
        <v>8.0947999999999993</v>
      </c>
      <c r="K453" s="68">
        <f>8.1016 * CHOOSE(CONTROL!$C$22, $C$13, 100%, $E$13)</f>
        <v>8.1015999999999995</v>
      </c>
    </row>
    <row r="454" spans="1:11" ht="15">
      <c r="A454" s="13">
        <v>54940</v>
      </c>
      <c r="B454" s="67">
        <f>6.6761 * CHOOSE(CONTROL!$C$22, $C$13, 100%, $E$13)</f>
        <v>6.6760999999999999</v>
      </c>
      <c r="C454" s="67">
        <f>6.6761 * CHOOSE(CONTROL!$C$22, $C$13, 100%, $E$13)</f>
        <v>6.6760999999999999</v>
      </c>
      <c r="D454" s="67">
        <f>6.6816 * CHOOSE(CONTROL!$C$22, $C$13, 100%, $E$13)</f>
        <v>6.6816000000000004</v>
      </c>
      <c r="E454" s="68">
        <f>8.0579 * CHOOSE(CONTROL!$C$22, $C$13, 100%, $E$13)</f>
        <v>8.0579000000000001</v>
      </c>
      <c r="F454" s="68">
        <f>8.0579 * CHOOSE(CONTROL!$C$22, $C$13, 100%, $E$13)</f>
        <v>8.0579000000000001</v>
      </c>
      <c r="G454" s="68">
        <f>8.0646 * CHOOSE(CONTROL!$C$22, $C$13, 100%, $E$13)</f>
        <v>8.0646000000000004</v>
      </c>
      <c r="H454" s="68">
        <f>12.254* CHOOSE(CONTROL!$C$22, $C$13, 100%, $E$13)</f>
        <v>12.254</v>
      </c>
      <c r="I454" s="68">
        <f>12.2607 * CHOOSE(CONTROL!$C$22, $C$13, 100%, $E$13)</f>
        <v>12.2607</v>
      </c>
      <c r="J454" s="68">
        <f>8.0579 * CHOOSE(CONTROL!$C$22, $C$13, 100%, $E$13)</f>
        <v>8.0579000000000001</v>
      </c>
      <c r="K454" s="68">
        <f>8.0646 * CHOOSE(CONTROL!$C$22, $C$13, 100%, $E$13)</f>
        <v>8.0646000000000004</v>
      </c>
    </row>
    <row r="455" spans="1:11" ht="15">
      <c r="A455" s="13">
        <v>54970</v>
      </c>
      <c r="B455" s="67">
        <f>6.7826 * CHOOSE(CONTROL!$C$22, $C$13, 100%, $E$13)</f>
        <v>6.7826000000000004</v>
      </c>
      <c r="C455" s="67">
        <f>6.7826 * CHOOSE(CONTROL!$C$22, $C$13, 100%, $E$13)</f>
        <v>6.7826000000000004</v>
      </c>
      <c r="D455" s="67">
        <f>6.7881 * CHOOSE(CONTROL!$C$22, $C$13, 100%, $E$13)</f>
        <v>6.7881</v>
      </c>
      <c r="E455" s="68">
        <f>8.1919 * CHOOSE(CONTROL!$C$22, $C$13, 100%, $E$13)</f>
        <v>8.1919000000000004</v>
      </c>
      <c r="F455" s="68">
        <f>8.1919 * CHOOSE(CONTROL!$C$22, $C$13, 100%, $E$13)</f>
        <v>8.1919000000000004</v>
      </c>
      <c r="G455" s="68">
        <f>8.1986 * CHOOSE(CONTROL!$C$22, $C$13, 100%, $E$13)</f>
        <v>8.1986000000000008</v>
      </c>
      <c r="H455" s="68">
        <f>12.2795* CHOOSE(CONTROL!$C$22, $C$13, 100%, $E$13)</f>
        <v>12.279500000000001</v>
      </c>
      <c r="I455" s="68">
        <f>12.2863 * CHOOSE(CONTROL!$C$22, $C$13, 100%, $E$13)</f>
        <v>12.286300000000001</v>
      </c>
      <c r="J455" s="68">
        <f>8.1919 * CHOOSE(CONTROL!$C$22, $C$13, 100%, $E$13)</f>
        <v>8.1919000000000004</v>
      </c>
      <c r="K455" s="68">
        <f>8.1986 * CHOOSE(CONTROL!$C$22, $C$13, 100%, $E$13)</f>
        <v>8.1986000000000008</v>
      </c>
    </row>
    <row r="456" spans="1:11" ht="15">
      <c r="A456" s="13">
        <v>55001</v>
      </c>
      <c r="B456" s="67">
        <f>6.7893 * CHOOSE(CONTROL!$C$22, $C$13, 100%, $E$13)</f>
        <v>6.7892999999999999</v>
      </c>
      <c r="C456" s="67">
        <f>6.7893 * CHOOSE(CONTROL!$C$22, $C$13, 100%, $E$13)</f>
        <v>6.7892999999999999</v>
      </c>
      <c r="D456" s="67">
        <f>6.7948 * CHOOSE(CONTROL!$C$22, $C$13, 100%, $E$13)</f>
        <v>6.7948000000000004</v>
      </c>
      <c r="E456" s="68">
        <f>8.0729 * CHOOSE(CONTROL!$C$22, $C$13, 100%, $E$13)</f>
        <v>8.0729000000000006</v>
      </c>
      <c r="F456" s="68">
        <f>8.0729 * CHOOSE(CONTROL!$C$22, $C$13, 100%, $E$13)</f>
        <v>8.0729000000000006</v>
      </c>
      <c r="G456" s="68">
        <f>8.0796 * CHOOSE(CONTROL!$C$22, $C$13, 100%, $E$13)</f>
        <v>8.0795999999999992</v>
      </c>
      <c r="H456" s="68">
        <f>12.3051* CHOOSE(CONTROL!$C$22, $C$13, 100%, $E$13)</f>
        <v>12.305099999999999</v>
      </c>
      <c r="I456" s="68">
        <f>12.3118 * CHOOSE(CONTROL!$C$22, $C$13, 100%, $E$13)</f>
        <v>12.3118</v>
      </c>
      <c r="J456" s="68">
        <f>8.0729 * CHOOSE(CONTROL!$C$22, $C$13, 100%, $E$13)</f>
        <v>8.0729000000000006</v>
      </c>
      <c r="K456" s="68">
        <f>8.0796 * CHOOSE(CONTROL!$C$22, $C$13, 100%, $E$13)</f>
        <v>8.0795999999999992</v>
      </c>
    </row>
    <row r="457" spans="1:11" ht="15">
      <c r="A457" s="13">
        <v>55032</v>
      </c>
      <c r="B457" s="67">
        <f>6.7863 * CHOOSE(CONTROL!$C$22, $C$13, 100%, $E$13)</f>
        <v>6.7862999999999998</v>
      </c>
      <c r="C457" s="67">
        <f>6.7863 * CHOOSE(CONTROL!$C$22, $C$13, 100%, $E$13)</f>
        <v>6.7862999999999998</v>
      </c>
      <c r="D457" s="67">
        <f>6.7918 * CHOOSE(CONTROL!$C$22, $C$13, 100%, $E$13)</f>
        <v>6.7918000000000003</v>
      </c>
      <c r="E457" s="68">
        <f>8.0571 * CHOOSE(CONTROL!$C$22, $C$13, 100%, $E$13)</f>
        <v>8.0571000000000002</v>
      </c>
      <c r="F457" s="68">
        <f>8.0571 * CHOOSE(CONTROL!$C$22, $C$13, 100%, $E$13)</f>
        <v>8.0571000000000002</v>
      </c>
      <c r="G457" s="68">
        <f>8.0638 * CHOOSE(CONTROL!$C$22, $C$13, 100%, $E$13)</f>
        <v>8.0638000000000005</v>
      </c>
      <c r="H457" s="68">
        <f>12.3307* CHOOSE(CONTROL!$C$22, $C$13, 100%, $E$13)</f>
        <v>12.3307</v>
      </c>
      <c r="I457" s="68">
        <f>12.3375 * CHOOSE(CONTROL!$C$22, $C$13, 100%, $E$13)</f>
        <v>12.3375</v>
      </c>
      <c r="J457" s="68">
        <f>8.0571 * CHOOSE(CONTROL!$C$22, $C$13, 100%, $E$13)</f>
        <v>8.0571000000000002</v>
      </c>
      <c r="K457" s="68">
        <f>8.0638 * CHOOSE(CONTROL!$C$22, $C$13, 100%, $E$13)</f>
        <v>8.0638000000000005</v>
      </c>
    </row>
    <row r="458" spans="1:11" ht="15">
      <c r="A458" s="13">
        <v>55062</v>
      </c>
      <c r="B458" s="67">
        <f>6.7905 * CHOOSE(CONTROL!$C$22, $C$13, 100%, $E$13)</f>
        <v>6.7904999999999998</v>
      </c>
      <c r="C458" s="67">
        <f>6.7905 * CHOOSE(CONTROL!$C$22, $C$13, 100%, $E$13)</f>
        <v>6.7904999999999998</v>
      </c>
      <c r="D458" s="67">
        <f>6.7944 * CHOOSE(CONTROL!$C$22, $C$13, 100%, $E$13)</f>
        <v>6.7944000000000004</v>
      </c>
      <c r="E458" s="68">
        <f>8.0986 * CHOOSE(CONTROL!$C$22, $C$13, 100%, $E$13)</f>
        <v>8.0985999999999994</v>
      </c>
      <c r="F458" s="68">
        <f>8.0986 * CHOOSE(CONTROL!$C$22, $C$13, 100%, $E$13)</f>
        <v>8.0985999999999994</v>
      </c>
      <c r="G458" s="68">
        <f>8.1033 * CHOOSE(CONTROL!$C$22, $C$13, 100%, $E$13)</f>
        <v>8.1033000000000008</v>
      </c>
      <c r="H458" s="68">
        <f>12.3564* CHOOSE(CONTROL!$C$22, $C$13, 100%, $E$13)</f>
        <v>12.356400000000001</v>
      </c>
      <c r="I458" s="68">
        <f>12.3612 * CHOOSE(CONTROL!$C$22, $C$13, 100%, $E$13)</f>
        <v>12.3612</v>
      </c>
      <c r="J458" s="68">
        <f>8.0986 * CHOOSE(CONTROL!$C$22, $C$13, 100%, $E$13)</f>
        <v>8.0985999999999994</v>
      </c>
      <c r="K458" s="68">
        <f>8.1033 * CHOOSE(CONTROL!$C$22, $C$13, 100%, $E$13)</f>
        <v>8.1033000000000008</v>
      </c>
    </row>
    <row r="459" spans="1:11" ht="15">
      <c r="A459" s="13">
        <v>55093</v>
      </c>
      <c r="B459" s="67">
        <f>6.7936 * CHOOSE(CONTROL!$C$22, $C$13, 100%, $E$13)</f>
        <v>6.7935999999999996</v>
      </c>
      <c r="C459" s="67">
        <f>6.7936 * CHOOSE(CONTROL!$C$22, $C$13, 100%, $E$13)</f>
        <v>6.7935999999999996</v>
      </c>
      <c r="D459" s="67">
        <f>6.7974 * CHOOSE(CONTROL!$C$22, $C$13, 100%, $E$13)</f>
        <v>6.7973999999999997</v>
      </c>
      <c r="E459" s="68">
        <f>8.1282 * CHOOSE(CONTROL!$C$22, $C$13, 100%, $E$13)</f>
        <v>8.1281999999999996</v>
      </c>
      <c r="F459" s="68">
        <f>8.1282 * CHOOSE(CONTROL!$C$22, $C$13, 100%, $E$13)</f>
        <v>8.1281999999999996</v>
      </c>
      <c r="G459" s="68">
        <f>8.1329 * CHOOSE(CONTROL!$C$22, $C$13, 100%, $E$13)</f>
        <v>8.1328999999999994</v>
      </c>
      <c r="H459" s="68">
        <f>12.3822* CHOOSE(CONTROL!$C$22, $C$13, 100%, $E$13)</f>
        <v>12.382199999999999</v>
      </c>
      <c r="I459" s="68">
        <f>12.3869 * CHOOSE(CONTROL!$C$22, $C$13, 100%, $E$13)</f>
        <v>12.386900000000001</v>
      </c>
      <c r="J459" s="68">
        <f>8.1282 * CHOOSE(CONTROL!$C$22, $C$13, 100%, $E$13)</f>
        <v>8.1281999999999996</v>
      </c>
      <c r="K459" s="68">
        <f>8.1329 * CHOOSE(CONTROL!$C$22, $C$13, 100%, $E$13)</f>
        <v>8.1328999999999994</v>
      </c>
    </row>
    <row r="460" spans="1:11" ht="15">
      <c r="A460" s="13">
        <v>55123</v>
      </c>
      <c r="B460" s="67">
        <f>6.7936 * CHOOSE(CONTROL!$C$22, $C$13, 100%, $E$13)</f>
        <v>6.7935999999999996</v>
      </c>
      <c r="C460" s="67">
        <f>6.7936 * CHOOSE(CONTROL!$C$22, $C$13, 100%, $E$13)</f>
        <v>6.7935999999999996</v>
      </c>
      <c r="D460" s="67">
        <f>6.7974 * CHOOSE(CONTROL!$C$22, $C$13, 100%, $E$13)</f>
        <v>6.7973999999999997</v>
      </c>
      <c r="E460" s="68">
        <f>8.0595 * CHOOSE(CONTROL!$C$22, $C$13, 100%, $E$13)</f>
        <v>8.0594999999999999</v>
      </c>
      <c r="F460" s="68">
        <f>8.0595 * CHOOSE(CONTROL!$C$22, $C$13, 100%, $E$13)</f>
        <v>8.0594999999999999</v>
      </c>
      <c r="G460" s="68">
        <f>8.0643 * CHOOSE(CONTROL!$C$22, $C$13, 100%, $E$13)</f>
        <v>8.0642999999999994</v>
      </c>
      <c r="H460" s="68">
        <f>12.408* CHOOSE(CONTROL!$C$22, $C$13, 100%, $E$13)</f>
        <v>12.407999999999999</v>
      </c>
      <c r="I460" s="68">
        <f>12.4127 * CHOOSE(CONTROL!$C$22, $C$13, 100%, $E$13)</f>
        <v>12.412699999999999</v>
      </c>
      <c r="J460" s="68">
        <f>8.0595 * CHOOSE(CONTROL!$C$22, $C$13, 100%, $E$13)</f>
        <v>8.0594999999999999</v>
      </c>
      <c r="K460" s="68">
        <f>8.0643 * CHOOSE(CONTROL!$C$22, $C$13, 100%, $E$13)</f>
        <v>8.0642999999999994</v>
      </c>
    </row>
    <row r="461" spans="1:11" ht="15">
      <c r="A461" s="13">
        <v>55154</v>
      </c>
      <c r="B461" s="67">
        <f>6.8525 * CHOOSE(CONTROL!$C$22, $C$13, 100%, $E$13)</f>
        <v>6.8525</v>
      </c>
      <c r="C461" s="67">
        <f>6.8525 * CHOOSE(CONTROL!$C$22, $C$13, 100%, $E$13)</f>
        <v>6.8525</v>
      </c>
      <c r="D461" s="67">
        <f>6.8564 * CHOOSE(CONTROL!$C$22, $C$13, 100%, $E$13)</f>
        <v>6.8563999999999998</v>
      </c>
      <c r="E461" s="68">
        <f>8.1748 * CHOOSE(CONTROL!$C$22, $C$13, 100%, $E$13)</f>
        <v>8.1747999999999994</v>
      </c>
      <c r="F461" s="68">
        <f>8.1748 * CHOOSE(CONTROL!$C$22, $C$13, 100%, $E$13)</f>
        <v>8.1747999999999994</v>
      </c>
      <c r="G461" s="68">
        <f>8.1795 * CHOOSE(CONTROL!$C$22, $C$13, 100%, $E$13)</f>
        <v>8.1795000000000009</v>
      </c>
      <c r="H461" s="68">
        <f>12.4338* CHOOSE(CONTROL!$C$22, $C$13, 100%, $E$13)</f>
        <v>12.4338</v>
      </c>
      <c r="I461" s="68">
        <f>12.4386 * CHOOSE(CONTROL!$C$22, $C$13, 100%, $E$13)</f>
        <v>12.438599999999999</v>
      </c>
      <c r="J461" s="68">
        <f>8.1748 * CHOOSE(CONTROL!$C$22, $C$13, 100%, $E$13)</f>
        <v>8.1747999999999994</v>
      </c>
      <c r="K461" s="68">
        <f>8.1795 * CHOOSE(CONTROL!$C$22, $C$13, 100%, $E$13)</f>
        <v>8.1795000000000009</v>
      </c>
    </row>
    <row r="462" spans="1:11" ht="15">
      <c r="A462" s="13">
        <v>55185</v>
      </c>
      <c r="B462" s="67">
        <f>6.8495 * CHOOSE(CONTROL!$C$22, $C$13, 100%, $E$13)</f>
        <v>6.8494999999999999</v>
      </c>
      <c r="C462" s="67">
        <f>6.8495 * CHOOSE(CONTROL!$C$22, $C$13, 100%, $E$13)</f>
        <v>6.8494999999999999</v>
      </c>
      <c r="D462" s="67">
        <f>6.8533 * CHOOSE(CONTROL!$C$22, $C$13, 100%, $E$13)</f>
        <v>6.8532999999999999</v>
      </c>
      <c r="E462" s="68">
        <f>8.0392 * CHOOSE(CONTROL!$C$22, $C$13, 100%, $E$13)</f>
        <v>8.0391999999999992</v>
      </c>
      <c r="F462" s="68">
        <f>8.0392 * CHOOSE(CONTROL!$C$22, $C$13, 100%, $E$13)</f>
        <v>8.0391999999999992</v>
      </c>
      <c r="G462" s="68">
        <f>8.044 * CHOOSE(CONTROL!$C$22, $C$13, 100%, $E$13)</f>
        <v>8.0440000000000005</v>
      </c>
      <c r="H462" s="68">
        <f>12.4597* CHOOSE(CONTROL!$C$22, $C$13, 100%, $E$13)</f>
        <v>12.4597</v>
      </c>
      <c r="I462" s="68">
        <f>12.4645 * CHOOSE(CONTROL!$C$22, $C$13, 100%, $E$13)</f>
        <v>12.464499999999999</v>
      </c>
      <c r="J462" s="68">
        <f>8.0392 * CHOOSE(CONTROL!$C$22, $C$13, 100%, $E$13)</f>
        <v>8.0391999999999992</v>
      </c>
      <c r="K462" s="68">
        <f>8.044 * CHOOSE(CONTROL!$C$22, $C$13, 100%, $E$13)</f>
        <v>8.0440000000000005</v>
      </c>
    </row>
    <row r="463" spans="1:11" ht="15">
      <c r="A463" s="13">
        <v>55213</v>
      </c>
      <c r="B463" s="67">
        <f>6.8464 * CHOOSE(CONTROL!$C$22, $C$13, 100%, $E$13)</f>
        <v>6.8464</v>
      </c>
      <c r="C463" s="67">
        <f>6.8464 * CHOOSE(CONTROL!$C$22, $C$13, 100%, $E$13)</f>
        <v>6.8464</v>
      </c>
      <c r="D463" s="67">
        <f>6.8503 * CHOOSE(CONTROL!$C$22, $C$13, 100%, $E$13)</f>
        <v>6.8502999999999998</v>
      </c>
      <c r="E463" s="68">
        <f>8.1423 * CHOOSE(CONTROL!$C$22, $C$13, 100%, $E$13)</f>
        <v>8.1423000000000005</v>
      </c>
      <c r="F463" s="68">
        <f>8.1423 * CHOOSE(CONTROL!$C$22, $C$13, 100%, $E$13)</f>
        <v>8.1423000000000005</v>
      </c>
      <c r="G463" s="68">
        <f>8.147 * CHOOSE(CONTROL!$C$22, $C$13, 100%, $E$13)</f>
        <v>8.1470000000000002</v>
      </c>
      <c r="H463" s="68">
        <f>12.4857* CHOOSE(CONTROL!$C$22, $C$13, 100%, $E$13)</f>
        <v>12.4857</v>
      </c>
      <c r="I463" s="68">
        <f>12.4904 * CHOOSE(CONTROL!$C$22, $C$13, 100%, $E$13)</f>
        <v>12.490399999999999</v>
      </c>
      <c r="J463" s="68">
        <f>8.1423 * CHOOSE(CONTROL!$C$22, $C$13, 100%, $E$13)</f>
        <v>8.1423000000000005</v>
      </c>
      <c r="K463" s="68">
        <f>8.147 * CHOOSE(CONTROL!$C$22, $C$13, 100%, $E$13)</f>
        <v>8.1470000000000002</v>
      </c>
    </row>
    <row r="464" spans="1:11" ht="15">
      <c r="A464" s="13">
        <v>55244</v>
      </c>
      <c r="B464" s="67">
        <f>6.8465 * CHOOSE(CONTROL!$C$22, $C$13, 100%, $E$13)</f>
        <v>6.8464999999999998</v>
      </c>
      <c r="C464" s="67">
        <f>6.8465 * CHOOSE(CONTROL!$C$22, $C$13, 100%, $E$13)</f>
        <v>6.8464999999999998</v>
      </c>
      <c r="D464" s="67">
        <f>6.8504 * CHOOSE(CONTROL!$C$22, $C$13, 100%, $E$13)</f>
        <v>6.8503999999999996</v>
      </c>
      <c r="E464" s="68">
        <f>8.251 * CHOOSE(CONTROL!$C$22, $C$13, 100%, $E$13)</f>
        <v>8.2509999999999994</v>
      </c>
      <c r="F464" s="68">
        <f>8.251 * CHOOSE(CONTROL!$C$22, $C$13, 100%, $E$13)</f>
        <v>8.2509999999999994</v>
      </c>
      <c r="G464" s="68">
        <f>8.2558 * CHOOSE(CONTROL!$C$22, $C$13, 100%, $E$13)</f>
        <v>8.2558000000000007</v>
      </c>
      <c r="H464" s="68">
        <f>12.5117* CHOOSE(CONTROL!$C$22, $C$13, 100%, $E$13)</f>
        <v>12.511699999999999</v>
      </c>
      <c r="I464" s="68">
        <f>12.5165 * CHOOSE(CONTROL!$C$22, $C$13, 100%, $E$13)</f>
        <v>12.516500000000001</v>
      </c>
      <c r="J464" s="68">
        <f>8.251 * CHOOSE(CONTROL!$C$22, $C$13, 100%, $E$13)</f>
        <v>8.2509999999999994</v>
      </c>
      <c r="K464" s="68">
        <f>8.2558 * CHOOSE(CONTROL!$C$22, $C$13, 100%, $E$13)</f>
        <v>8.2558000000000007</v>
      </c>
    </row>
    <row r="465" spans="1:11" ht="15">
      <c r="A465" s="13">
        <v>55274</v>
      </c>
      <c r="B465" s="67">
        <f>6.8465 * CHOOSE(CONTROL!$C$22, $C$13, 100%, $E$13)</f>
        <v>6.8464999999999998</v>
      </c>
      <c r="C465" s="67">
        <f>6.8465 * CHOOSE(CONTROL!$C$22, $C$13, 100%, $E$13)</f>
        <v>6.8464999999999998</v>
      </c>
      <c r="D465" s="67">
        <f>6.852 * CHOOSE(CONTROL!$C$22, $C$13, 100%, $E$13)</f>
        <v>6.8520000000000003</v>
      </c>
      <c r="E465" s="68">
        <f>8.2934 * CHOOSE(CONTROL!$C$22, $C$13, 100%, $E$13)</f>
        <v>8.2934000000000001</v>
      </c>
      <c r="F465" s="68">
        <f>8.2934 * CHOOSE(CONTROL!$C$22, $C$13, 100%, $E$13)</f>
        <v>8.2934000000000001</v>
      </c>
      <c r="G465" s="68">
        <f>8.3001 * CHOOSE(CONTROL!$C$22, $C$13, 100%, $E$13)</f>
        <v>8.3001000000000005</v>
      </c>
      <c r="H465" s="68">
        <f>12.5378* CHOOSE(CONTROL!$C$22, $C$13, 100%, $E$13)</f>
        <v>12.537800000000001</v>
      </c>
      <c r="I465" s="68">
        <f>12.5445 * CHOOSE(CONTROL!$C$22, $C$13, 100%, $E$13)</f>
        <v>12.544499999999999</v>
      </c>
      <c r="J465" s="68">
        <f>8.2934 * CHOOSE(CONTROL!$C$22, $C$13, 100%, $E$13)</f>
        <v>8.2934000000000001</v>
      </c>
      <c r="K465" s="68">
        <f>8.3001 * CHOOSE(CONTROL!$C$22, $C$13, 100%, $E$13)</f>
        <v>8.3001000000000005</v>
      </c>
    </row>
    <row r="466" spans="1:11" ht="15">
      <c r="A466" s="13">
        <v>55305</v>
      </c>
      <c r="B466" s="67">
        <f>6.8526 * CHOOSE(CONTROL!$C$22, $C$13, 100%, $E$13)</f>
        <v>6.8525999999999998</v>
      </c>
      <c r="C466" s="67">
        <f>6.8526 * CHOOSE(CONTROL!$C$22, $C$13, 100%, $E$13)</f>
        <v>6.8525999999999998</v>
      </c>
      <c r="D466" s="67">
        <f>6.8581 * CHOOSE(CONTROL!$C$22, $C$13, 100%, $E$13)</f>
        <v>6.8581000000000003</v>
      </c>
      <c r="E466" s="68">
        <f>8.2552 * CHOOSE(CONTROL!$C$22, $C$13, 100%, $E$13)</f>
        <v>8.2552000000000003</v>
      </c>
      <c r="F466" s="68">
        <f>8.2552 * CHOOSE(CONTROL!$C$22, $C$13, 100%, $E$13)</f>
        <v>8.2552000000000003</v>
      </c>
      <c r="G466" s="68">
        <f>8.262 * CHOOSE(CONTROL!$C$22, $C$13, 100%, $E$13)</f>
        <v>8.2620000000000005</v>
      </c>
      <c r="H466" s="68">
        <f>12.5639* CHOOSE(CONTROL!$C$22, $C$13, 100%, $E$13)</f>
        <v>12.5639</v>
      </c>
      <c r="I466" s="68">
        <f>12.5706 * CHOOSE(CONTROL!$C$22, $C$13, 100%, $E$13)</f>
        <v>12.570600000000001</v>
      </c>
      <c r="J466" s="68">
        <f>8.2552 * CHOOSE(CONTROL!$C$22, $C$13, 100%, $E$13)</f>
        <v>8.2552000000000003</v>
      </c>
      <c r="K466" s="68">
        <f>8.262 * CHOOSE(CONTROL!$C$22, $C$13, 100%, $E$13)</f>
        <v>8.2620000000000005</v>
      </c>
    </row>
    <row r="467" spans="1:11" ht="15">
      <c r="A467" s="13">
        <v>55335</v>
      </c>
      <c r="B467" s="67">
        <f>6.9616 * CHOOSE(CONTROL!$C$22, $C$13, 100%, $E$13)</f>
        <v>6.9615999999999998</v>
      </c>
      <c r="C467" s="67">
        <f>6.9616 * CHOOSE(CONTROL!$C$22, $C$13, 100%, $E$13)</f>
        <v>6.9615999999999998</v>
      </c>
      <c r="D467" s="67">
        <f>6.9671 * CHOOSE(CONTROL!$C$22, $C$13, 100%, $E$13)</f>
        <v>6.9671000000000003</v>
      </c>
      <c r="E467" s="68">
        <f>8.3922 * CHOOSE(CONTROL!$C$22, $C$13, 100%, $E$13)</f>
        <v>8.3922000000000008</v>
      </c>
      <c r="F467" s="68">
        <f>8.3922 * CHOOSE(CONTROL!$C$22, $C$13, 100%, $E$13)</f>
        <v>8.3922000000000008</v>
      </c>
      <c r="G467" s="68">
        <f>8.3989 * CHOOSE(CONTROL!$C$22, $C$13, 100%, $E$13)</f>
        <v>8.3988999999999994</v>
      </c>
      <c r="H467" s="68">
        <f>12.5901* CHOOSE(CONTROL!$C$22, $C$13, 100%, $E$13)</f>
        <v>12.5901</v>
      </c>
      <c r="I467" s="68">
        <f>12.5968 * CHOOSE(CONTROL!$C$22, $C$13, 100%, $E$13)</f>
        <v>12.5968</v>
      </c>
      <c r="J467" s="68">
        <f>8.3922 * CHOOSE(CONTROL!$C$22, $C$13, 100%, $E$13)</f>
        <v>8.3922000000000008</v>
      </c>
      <c r="K467" s="68">
        <f>8.3989 * CHOOSE(CONTROL!$C$22, $C$13, 100%, $E$13)</f>
        <v>8.3988999999999994</v>
      </c>
    </row>
    <row r="468" spans="1:11" ht="15">
      <c r="A468" s="13">
        <v>55366</v>
      </c>
      <c r="B468" s="67">
        <f>6.9683 * CHOOSE(CONTROL!$C$22, $C$13, 100%, $E$13)</f>
        <v>6.9683000000000002</v>
      </c>
      <c r="C468" s="67">
        <f>6.9683 * CHOOSE(CONTROL!$C$22, $C$13, 100%, $E$13)</f>
        <v>6.9683000000000002</v>
      </c>
      <c r="D468" s="67">
        <f>6.9738 * CHOOSE(CONTROL!$C$22, $C$13, 100%, $E$13)</f>
        <v>6.9737999999999998</v>
      </c>
      <c r="E468" s="68">
        <f>8.2698 * CHOOSE(CONTROL!$C$22, $C$13, 100%, $E$13)</f>
        <v>8.2698</v>
      </c>
      <c r="F468" s="68">
        <f>8.2698 * CHOOSE(CONTROL!$C$22, $C$13, 100%, $E$13)</f>
        <v>8.2698</v>
      </c>
      <c r="G468" s="68">
        <f>8.2765 * CHOOSE(CONTROL!$C$22, $C$13, 100%, $E$13)</f>
        <v>8.2765000000000004</v>
      </c>
      <c r="H468" s="68">
        <f>12.6163* CHOOSE(CONTROL!$C$22, $C$13, 100%, $E$13)</f>
        <v>12.616300000000001</v>
      </c>
      <c r="I468" s="68">
        <f>12.623 * CHOOSE(CONTROL!$C$22, $C$13, 100%, $E$13)</f>
        <v>12.622999999999999</v>
      </c>
      <c r="J468" s="68">
        <f>8.2698 * CHOOSE(CONTROL!$C$22, $C$13, 100%, $E$13)</f>
        <v>8.2698</v>
      </c>
      <c r="K468" s="68">
        <f>8.2765 * CHOOSE(CONTROL!$C$22, $C$13, 100%, $E$13)</f>
        <v>8.2765000000000004</v>
      </c>
    </row>
    <row r="469" spans="1:11" ht="15">
      <c r="A469" s="13">
        <v>55397</v>
      </c>
      <c r="B469" s="67">
        <f>6.9653 * CHOOSE(CONTROL!$C$22, $C$13, 100%, $E$13)</f>
        <v>6.9653</v>
      </c>
      <c r="C469" s="67">
        <f>6.9653 * CHOOSE(CONTROL!$C$22, $C$13, 100%, $E$13)</f>
        <v>6.9653</v>
      </c>
      <c r="D469" s="67">
        <f>6.9708 * CHOOSE(CONTROL!$C$22, $C$13, 100%, $E$13)</f>
        <v>6.9707999999999997</v>
      </c>
      <c r="E469" s="68">
        <f>8.2536 * CHOOSE(CONTROL!$C$22, $C$13, 100%, $E$13)</f>
        <v>8.2536000000000005</v>
      </c>
      <c r="F469" s="68">
        <f>8.2536 * CHOOSE(CONTROL!$C$22, $C$13, 100%, $E$13)</f>
        <v>8.2536000000000005</v>
      </c>
      <c r="G469" s="68">
        <f>8.2603 * CHOOSE(CONTROL!$C$22, $C$13, 100%, $E$13)</f>
        <v>8.2603000000000009</v>
      </c>
      <c r="H469" s="68">
        <f>12.6426* CHOOSE(CONTROL!$C$22, $C$13, 100%, $E$13)</f>
        <v>12.6426</v>
      </c>
      <c r="I469" s="68">
        <f>12.6493 * CHOOSE(CONTROL!$C$22, $C$13, 100%, $E$13)</f>
        <v>12.6493</v>
      </c>
      <c r="J469" s="68">
        <f>8.2536 * CHOOSE(CONTROL!$C$22, $C$13, 100%, $E$13)</f>
        <v>8.2536000000000005</v>
      </c>
      <c r="K469" s="68">
        <f>8.2603 * CHOOSE(CONTROL!$C$22, $C$13, 100%, $E$13)</f>
        <v>8.2603000000000009</v>
      </c>
    </row>
    <row r="470" spans="1:11" ht="15">
      <c r="A470" s="13">
        <v>55427</v>
      </c>
      <c r="B470" s="67">
        <f>6.9701 * CHOOSE(CONTROL!$C$22, $C$13, 100%, $E$13)</f>
        <v>6.9701000000000004</v>
      </c>
      <c r="C470" s="67">
        <f>6.9701 * CHOOSE(CONTROL!$C$22, $C$13, 100%, $E$13)</f>
        <v>6.9701000000000004</v>
      </c>
      <c r="D470" s="67">
        <f>6.974 * CHOOSE(CONTROL!$C$22, $C$13, 100%, $E$13)</f>
        <v>6.9740000000000002</v>
      </c>
      <c r="E470" s="68">
        <f>8.2966 * CHOOSE(CONTROL!$C$22, $C$13, 100%, $E$13)</f>
        <v>8.2965999999999998</v>
      </c>
      <c r="F470" s="68">
        <f>8.2966 * CHOOSE(CONTROL!$C$22, $C$13, 100%, $E$13)</f>
        <v>8.2965999999999998</v>
      </c>
      <c r="G470" s="68">
        <f>8.3014 * CHOOSE(CONTROL!$C$22, $C$13, 100%, $E$13)</f>
        <v>8.3013999999999992</v>
      </c>
      <c r="H470" s="68">
        <f>12.6689* CHOOSE(CONTROL!$C$22, $C$13, 100%, $E$13)</f>
        <v>12.668900000000001</v>
      </c>
      <c r="I470" s="68">
        <f>12.6737 * CHOOSE(CONTROL!$C$22, $C$13, 100%, $E$13)</f>
        <v>12.6737</v>
      </c>
      <c r="J470" s="68">
        <f>8.2966 * CHOOSE(CONTROL!$C$22, $C$13, 100%, $E$13)</f>
        <v>8.2965999999999998</v>
      </c>
      <c r="K470" s="68">
        <f>8.3014 * CHOOSE(CONTROL!$C$22, $C$13, 100%, $E$13)</f>
        <v>8.3013999999999992</v>
      </c>
    </row>
    <row r="471" spans="1:11" ht="15">
      <c r="A471" s="13">
        <v>55458</v>
      </c>
      <c r="B471" s="67">
        <f>6.9731 * CHOOSE(CONTROL!$C$22, $C$13, 100%, $E$13)</f>
        <v>6.9730999999999996</v>
      </c>
      <c r="C471" s="67">
        <f>6.9731 * CHOOSE(CONTROL!$C$22, $C$13, 100%, $E$13)</f>
        <v>6.9730999999999996</v>
      </c>
      <c r="D471" s="67">
        <f>6.977 * CHOOSE(CONTROL!$C$22, $C$13, 100%, $E$13)</f>
        <v>6.9770000000000003</v>
      </c>
      <c r="E471" s="68">
        <f>8.327 * CHOOSE(CONTROL!$C$22, $C$13, 100%, $E$13)</f>
        <v>8.327</v>
      </c>
      <c r="F471" s="68">
        <f>8.327 * CHOOSE(CONTROL!$C$22, $C$13, 100%, $E$13)</f>
        <v>8.327</v>
      </c>
      <c r="G471" s="68">
        <f>8.3317 * CHOOSE(CONTROL!$C$22, $C$13, 100%, $E$13)</f>
        <v>8.3316999999999997</v>
      </c>
      <c r="H471" s="68">
        <f>12.6953* CHOOSE(CONTROL!$C$22, $C$13, 100%, $E$13)</f>
        <v>12.6953</v>
      </c>
      <c r="I471" s="68">
        <f>12.7001 * CHOOSE(CONTROL!$C$22, $C$13, 100%, $E$13)</f>
        <v>12.700100000000001</v>
      </c>
      <c r="J471" s="68">
        <f>8.327 * CHOOSE(CONTROL!$C$22, $C$13, 100%, $E$13)</f>
        <v>8.327</v>
      </c>
      <c r="K471" s="68">
        <f>8.3317 * CHOOSE(CONTROL!$C$22, $C$13, 100%, $E$13)</f>
        <v>8.3316999999999997</v>
      </c>
    </row>
    <row r="472" spans="1:11" ht="15">
      <c r="A472" s="13">
        <v>55488</v>
      </c>
      <c r="B472" s="67">
        <f>6.9731 * CHOOSE(CONTROL!$C$22, $C$13, 100%, $E$13)</f>
        <v>6.9730999999999996</v>
      </c>
      <c r="C472" s="67">
        <f>6.9731 * CHOOSE(CONTROL!$C$22, $C$13, 100%, $E$13)</f>
        <v>6.9730999999999996</v>
      </c>
      <c r="D472" s="67">
        <f>6.977 * CHOOSE(CONTROL!$C$22, $C$13, 100%, $E$13)</f>
        <v>6.9770000000000003</v>
      </c>
      <c r="E472" s="68">
        <f>8.2564 * CHOOSE(CONTROL!$C$22, $C$13, 100%, $E$13)</f>
        <v>8.2563999999999993</v>
      </c>
      <c r="F472" s="68">
        <f>8.2564 * CHOOSE(CONTROL!$C$22, $C$13, 100%, $E$13)</f>
        <v>8.2563999999999993</v>
      </c>
      <c r="G472" s="68">
        <f>8.2611 * CHOOSE(CONTROL!$C$22, $C$13, 100%, $E$13)</f>
        <v>8.2611000000000008</v>
      </c>
      <c r="H472" s="68">
        <f>12.7217* CHOOSE(CONTROL!$C$22, $C$13, 100%, $E$13)</f>
        <v>12.7217</v>
      </c>
      <c r="I472" s="68">
        <f>12.7265 * CHOOSE(CONTROL!$C$22, $C$13, 100%, $E$13)</f>
        <v>12.7265</v>
      </c>
      <c r="J472" s="68">
        <f>8.2564 * CHOOSE(CONTROL!$C$22, $C$13, 100%, $E$13)</f>
        <v>8.2563999999999993</v>
      </c>
      <c r="K472" s="68">
        <f>8.2611 * CHOOSE(CONTROL!$C$22, $C$13, 100%, $E$13)</f>
        <v>8.2611000000000008</v>
      </c>
    </row>
    <row r="473" spans="1:11" ht="15">
      <c r="A473" s="13">
        <v>55519</v>
      </c>
      <c r="B473" s="67">
        <f>7.0335 * CHOOSE(CONTROL!$C$22, $C$13, 100%, $E$13)</f>
        <v>7.0335000000000001</v>
      </c>
      <c r="C473" s="67">
        <f>7.0335 * CHOOSE(CONTROL!$C$22, $C$13, 100%, $E$13)</f>
        <v>7.0335000000000001</v>
      </c>
      <c r="D473" s="67">
        <f>7.0374 * CHOOSE(CONTROL!$C$22, $C$13, 100%, $E$13)</f>
        <v>7.0373999999999999</v>
      </c>
      <c r="E473" s="68">
        <f>8.3746 * CHOOSE(CONTROL!$C$22, $C$13, 100%, $E$13)</f>
        <v>8.3745999999999992</v>
      </c>
      <c r="F473" s="68">
        <f>8.3746 * CHOOSE(CONTROL!$C$22, $C$13, 100%, $E$13)</f>
        <v>8.3745999999999992</v>
      </c>
      <c r="G473" s="68">
        <f>8.3793 * CHOOSE(CONTROL!$C$22, $C$13, 100%, $E$13)</f>
        <v>8.3793000000000006</v>
      </c>
      <c r="H473" s="68">
        <f>12.7482* CHOOSE(CONTROL!$C$22, $C$13, 100%, $E$13)</f>
        <v>12.748200000000001</v>
      </c>
      <c r="I473" s="68">
        <f>12.753 * CHOOSE(CONTROL!$C$22, $C$13, 100%, $E$13)</f>
        <v>12.753</v>
      </c>
      <c r="J473" s="68">
        <f>8.3746 * CHOOSE(CONTROL!$C$22, $C$13, 100%, $E$13)</f>
        <v>8.3745999999999992</v>
      </c>
      <c r="K473" s="68">
        <f>8.3793 * CHOOSE(CONTROL!$C$22, $C$13, 100%, $E$13)</f>
        <v>8.3793000000000006</v>
      </c>
    </row>
    <row r="474" spans="1:11" ht="15">
      <c r="A474" s="13">
        <v>55550</v>
      </c>
      <c r="B474" s="67">
        <f>7.0305 * CHOOSE(CONTROL!$C$22, $C$13, 100%, $E$13)</f>
        <v>7.0305</v>
      </c>
      <c r="C474" s="67">
        <f>7.0305 * CHOOSE(CONTROL!$C$22, $C$13, 100%, $E$13)</f>
        <v>7.0305</v>
      </c>
      <c r="D474" s="67">
        <f>7.0343 * CHOOSE(CONTROL!$C$22, $C$13, 100%, $E$13)</f>
        <v>7.0343</v>
      </c>
      <c r="E474" s="68">
        <f>8.2353 * CHOOSE(CONTROL!$C$22, $C$13, 100%, $E$13)</f>
        <v>8.2353000000000005</v>
      </c>
      <c r="F474" s="68">
        <f>8.2353 * CHOOSE(CONTROL!$C$22, $C$13, 100%, $E$13)</f>
        <v>8.2353000000000005</v>
      </c>
      <c r="G474" s="68">
        <f>8.2401 * CHOOSE(CONTROL!$C$22, $C$13, 100%, $E$13)</f>
        <v>8.2401</v>
      </c>
      <c r="H474" s="68">
        <f>12.7748* CHOOSE(CONTROL!$C$22, $C$13, 100%, $E$13)</f>
        <v>12.774800000000001</v>
      </c>
      <c r="I474" s="68">
        <f>12.7796 * CHOOSE(CONTROL!$C$22, $C$13, 100%, $E$13)</f>
        <v>12.7796</v>
      </c>
      <c r="J474" s="68">
        <f>8.2353 * CHOOSE(CONTROL!$C$22, $C$13, 100%, $E$13)</f>
        <v>8.2353000000000005</v>
      </c>
      <c r="K474" s="68">
        <f>8.2401 * CHOOSE(CONTROL!$C$22, $C$13, 100%, $E$13)</f>
        <v>8.2401</v>
      </c>
    </row>
    <row r="475" spans="1:11" ht="15">
      <c r="A475" s="13">
        <v>55579</v>
      </c>
      <c r="B475" s="67">
        <f>7.0274 * CHOOSE(CONTROL!$C$22, $C$13, 100%, $E$13)</f>
        <v>7.0274000000000001</v>
      </c>
      <c r="C475" s="67">
        <f>7.0274 * CHOOSE(CONTROL!$C$22, $C$13, 100%, $E$13)</f>
        <v>7.0274000000000001</v>
      </c>
      <c r="D475" s="67">
        <f>7.0313 * CHOOSE(CONTROL!$C$22, $C$13, 100%, $E$13)</f>
        <v>7.0312999999999999</v>
      </c>
      <c r="E475" s="68">
        <f>8.3413 * CHOOSE(CONTROL!$C$22, $C$13, 100%, $E$13)</f>
        <v>8.3413000000000004</v>
      </c>
      <c r="F475" s="68">
        <f>8.3413 * CHOOSE(CONTROL!$C$22, $C$13, 100%, $E$13)</f>
        <v>8.3413000000000004</v>
      </c>
      <c r="G475" s="68">
        <f>8.3461 * CHOOSE(CONTROL!$C$22, $C$13, 100%, $E$13)</f>
        <v>8.3460999999999999</v>
      </c>
      <c r="H475" s="68">
        <f>12.8014* CHOOSE(CONTROL!$C$22, $C$13, 100%, $E$13)</f>
        <v>12.801399999999999</v>
      </c>
      <c r="I475" s="68">
        <f>12.8062 * CHOOSE(CONTROL!$C$22, $C$13, 100%, $E$13)</f>
        <v>12.8062</v>
      </c>
      <c r="J475" s="68">
        <f>8.3413 * CHOOSE(CONTROL!$C$22, $C$13, 100%, $E$13)</f>
        <v>8.3413000000000004</v>
      </c>
      <c r="K475" s="68">
        <f>8.3461 * CHOOSE(CONTROL!$C$22, $C$13, 100%, $E$13)</f>
        <v>8.3460999999999999</v>
      </c>
    </row>
    <row r="476" spans="1:11" ht="15">
      <c r="A476" s="13">
        <v>55610</v>
      </c>
      <c r="B476" s="67">
        <f>7.0277 * CHOOSE(CONTROL!$C$22, $C$13, 100%, $E$13)</f>
        <v>7.0277000000000003</v>
      </c>
      <c r="C476" s="67">
        <f>7.0277 * CHOOSE(CONTROL!$C$22, $C$13, 100%, $E$13)</f>
        <v>7.0277000000000003</v>
      </c>
      <c r="D476" s="67">
        <f>7.0315 * CHOOSE(CONTROL!$C$22, $C$13, 100%, $E$13)</f>
        <v>7.0315000000000003</v>
      </c>
      <c r="E476" s="68">
        <f>8.4532 * CHOOSE(CONTROL!$C$22, $C$13, 100%, $E$13)</f>
        <v>8.4532000000000007</v>
      </c>
      <c r="F476" s="68">
        <f>8.4532 * CHOOSE(CONTROL!$C$22, $C$13, 100%, $E$13)</f>
        <v>8.4532000000000007</v>
      </c>
      <c r="G476" s="68">
        <f>8.458 * CHOOSE(CONTROL!$C$22, $C$13, 100%, $E$13)</f>
        <v>8.4580000000000002</v>
      </c>
      <c r="H476" s="68">
        <f>12.8281* CHOOSE(CONTROL!$C$22, $C$13, 100%, $E$13)</f>
        <v>12.828099999999999</v>
      </c>
      <c r="I476" s="68">
        <f>12.8329 * CHOOSE(CONTROL!$C$22, $C$13, 100%, $E$13)</f>
        <v>12.8329</v>
      </c>
      <c r="J476" s="68">
        <f>8.4532 * CHOOSE(CONTROL!$C$22, $C$13, 100%, $E$13)</f>
        <v>8.4532000000000007</v>
      </c>
      <c r="K476" s="68">
        <f>8.458 * CHOOSE(CONTROL!$C$22, $C$13, 100%, $E$13)</f>
        <v>8.4580000000000002</v>
      </c>
    </row>
    <row r="477" spans="1:11" ht="15">
      <c r="A477" s="13">
        <v>55640</v>
      </c>
      <c r="B477" s="67">
        <f>7.0277 * CHOOSE(CONTROL!$C$22, $C$13, 100%, $E$13)</f>
        <v>7.0277000000000003</v>
      </c>
      <c r="C477" s="67">
        <f>7.0277 * CHOOSE(CONTROL!$C$22, $C$13, 100%, $E$13)</f>
        <v>7.0277000000000003</v>
      </c>
      <c r="D477" s="67">
        <f>7.0332 * CHOOSE(CONTROL!$C$22, $C$13, 100%, $E$13)</f>
        <v>7.0331999999999999</v>
      </c>
      <c r="E477" s="68">
        <f>8.4967 * CHOOSE(CONTROL!$C$22, $C$13, 100%, $E$13)</f>
        <v>8.4967000000000006</v>
      </c>
      <c r="F477" s="68">
        <f>8.4967 * CHOOSE(CONTROL!$C$22, $C$13, 100%, $E$13)</f>
        <v>8.4967000000000006</v>
      </c>
      <c r="G477" s="68">
        <f>8.5035 * CHOOSE(CONTROL!$C$22, $C$13, 100%, $E$13)</f>
        <v>8.5035000000000007</v>
      </c>
      <c r="H477" s="68">
        <f>12.8548* CHOOSE(CONTROL!$C$22, $C$13, 100%, $E$13)</f>
        <v>12.854799999999999</v>
      </c>
      <c r="I477" s="68">
        <f>12.8616 * CHOOSE(CONTROL!$C$22, $C$13, 100%, $E$13)</f>
        <v>12.861599999999999</v>
      </c>
      <c r="J477" s="68">
        <f>8.4967 * CHOOSE(CONTROL!$C$22, $C$13, 100%, $E$13)</f>
        <v>8.4967000000000006</v>
      </c>
      <c r="K477" s="68">
        <f>8.5035 * CHOOSE(CONTROL!$C$22, $C$13, 100%, $E$13)</f>
        <v>8.5035000000000007</v>
      </c>
    </row>
    <row r="478" spans="1:11" ht="15">
      <c r="A478" s="13">
        <v>55671</v>
      </c>
      <c r="B478" s="67">
        <f>7.0338 * CHOOSE(CONTROL!$C$22, $C$13, 100%, $E$13)</f>
        <v>7.0338000000000003</v>
      </c>
      <c r="C478" s="67">
        <f>7.0338 * CHOOSE(CONTROL!$C$22, $C$13, 100%, $E$13)</f>
        <v>7.0338000000000003</v>
      </c>
      <c r="D478" s="67">
        <f>7.0393 * CHOOSE(CONTROL!$C$22, $C$13, 100%, $E$13)</f>
        <v>7.0392999999999999</v>
      </c>
      <c r="E478" s="68">
        <f>8.4574 * CHOOSE(CONTROL!$C$22, $C$13, 100%, $E$13)</f>
        <v>8.4573999999999998</v>
      </c>
      <c r="F478" s="68">
        <f>8.4574 * CHOOSE(CONTROL!$C$22, $C$13, 100%, $E$13)</f>
        <v>8.4573999999999998</v>
      </c>
      <c r="G478" s="68">
        <f>8.4642 * CHOOSE(CONTROL!$C$22, $C$13, 100%, $E$13)</f>
        <v>8.4641999999999999</v>
      </c>
      <c r="H478" s="68">
        <f>12.8816* CHOOSE(CONTROL!$C$22, $C$13, 100%, $E$13)</f>
        <v>12.881600000000001</v>
      </c>
      <c r="I478" s="68">
        <f>12.8883 * CHOOSE(CONTROL!$C$22, $C$13, 100%, $E$13)</f>
        <v>12.888299999999999</v>
      </c>
      <c r="J478" s="68">
        <f>8.4574 * CHOOSE(CONTROL!$C$22, $C$13, 100%, $E$13)</f>
        <v>8.4573999999999998</v>
      </c>
      <c r="K478" s="68">
        <f>8.4642 * CHOOSE(CONTROL!$C$22, $C$13, 100%, $E$13)</f>
        <v>8.4641999999999999</v>
      </c>
    </row>
    <row r="479" spans="1:11" ht="15">
      <c r="A479" s="13">
        <v>55701</v>
      </c>
      <c r="B479" s="67">
        <f>7.1454 * CHOOSE(CONTROL!$C$22, $C$13, 100%, $E$13)</f>
        <v>7.1454000000000004</v>
      </c>
      <c r="C479" s="67">
        <f>7.1454 * CHOOSE(CONTROL!$C$22, $C$13, 100%, $E$13)</f>
        <v>7.1454000000000004</v>
      </c>
      <c r="D479" s="67">
        <f>7.1509 * CHOOSE(CONTROL!$C$22, $C$13, 100%, $E$13)</f>
        <v>7.1509</v>
      </c>
      <c r="E479" s="68">
        <f>8.5975 * CHOOSE(CONTROL!$C$22, $C$13, 100%, $E$13)</f>
        <v>8.5975000000000001</v>
      </c>
      <c r="F479" s="68">
        <f>8.5975 * CHOOSE(CONTROL!$C$22, $C$13, 100%, $E$13)</f>
        <v>8.5975000000000001</v>
      </c>
      <c r="G479" s="68">
        <f>8.6042 * CHOOSE(CONTROL!$C$22, $C$13, 100%, $E$13)</f>
        <v>8.6042000000000005</v>
      </c>
      <c r="H479" s="68">
        <f>12.9084* CHOOSE(CONTROL!$C$22, $C$13, 100%, $E$13)</f>
        <v>12.9084</v>
      </c>
      <c r="I479" s="68">
        <f>12.9152 * CHOOSE(CONTROL!$C$22, $C$13, 100%, $E$13)</f>
        <v>12.9152</v>
      </c>
      <c r="J479" s="68">
        <f>8.5975 * CHOOSE(CONTROL!$C$22, $C$13, 100%, $E$13)</f>
        <v>8.5975000000000001</v>
      </c>
      <c r="K479" s="68">
        <f>8.6042 * CHOOSE(CONTROL!$C$22, $C$13, 100%, $E$13)</f>
        <v>8.6042000000000005</v>
      </c>
    </row>
    <row r="480" spans="1:11" ht="15">
      <c r="A480" s="13">
        <v>55732</v>
      </c>
      <c r="B480" s="67">
        <f>7.1521 * CHOOSE(CONTROL!$C$22, $C$13, 100%, $E$13)</f>
        <v>7.1520999999999999</v>
      </c>
      <c r="C480" s="67">
        <f>7.1521 * CHOOSE(CONTROL!$C$22, $C$13, 100%, $E$13)</f>
        <v>7.1520999999999999</v>
      </c>
      <c r="D480" s="67">
        <f>7.1576 * CHOOSE(CONTROL!$C$22, $C$13, 100%, $E$13)</f>
        <v>7.1576000000000004</v>
      </c>
      <c r="E480" s="68">
        <f>8.4715 * CHOOSE(CONTROL!$C$22, $C$13, 100%, $E$13)</f>
        <v>8.4715000000000007</v>
      </c>
      <c r="F480" s="68">
        <f>8.4715 * CHOOSE(CONTROL!$C$22, $C$13, 100%, $E$13)</f>
        <v>8.4715000000000007</v>
      </c>
      <c r="G480" s="68">
        <f>8.4783 * CHOOSE(CONTROL!$C$22, $C$13, 100%, $E$13)</f>
        <v>8.4783000000000008</v>
      </c>
      <c r="H480" s="68">
        <f>12.9353* CHOOSE(CONTROL!$C$22, $C$13, 100%, $E$13)</f>
        <v>12.9353</v>
      </c>
      <c r="I480" s="68">
        <f>12.9421 * CHOOSE(CONTROL!$C$22, $C$13, 100%, $E$13)</f>
        <v>12.9421</v>
      </c>
      <c r="J480" s="68">
        <f>8.4715 * CHOOSE(CONTROL!$C$22, $C$13, 100%, $E$13)</f>
        <v>8.4715000000000007</v>
      </c>
      <c r="K480" s="68">
        <f>8.4783 * CHOOSE(CONTROL!$C$22, $C$13, 100%, $E$13)</f>
        <v>8.4783000000000008</v>
      </c>
    </row>
    <row r="481" spans="1:11" ht="15">
      <c r="A481" s="13">
        <v>55763</v>
      </c>
      <c r="B481" s="67">
        <f>7.149 * CHOOSE(CONTROL!$C$22, $C$13, 100%, $E$13)</f>
        <v>7.149</v>
      </c>
      <c r="C481" s="67">
        <f>7.149 * CHOOSE(CONTROL!$C$22, $C$13, 100%, $E$13)</f>
        <v>7.149</v>
      </c>
      <c r="D481" s="67">
        <f>7.1545 * CHOOSE(CONTROL!$C$22, $C$13, 100%, $E$13)</f>
        <v>7.1544999999999996</v>
      </c>
      <c r="E481" s="68">
        <f>8.4549 * CHOOSE(CONTROL!$C$22, $C$13, 100%, $E$13)</f>
        <v>8.4549000000000003</v>
      </c>
      <c r="F481" s="68">
        <f>8.4549 * CHOOSE(CONTROL!$C$22, $C$13, 100%, $E$13)</f>
        <v>8.4549000000000003</v>
      </c>
      <c r="G481" s="68">
        <f>8.4616 * CHOOSE(CONTROL!$C$22, $C$13, 100%, $E$13)</f>
        <v>8.4616000000000007</v>
      </c>
      <c r="H481" s="68">
        <f>12.9623* CHOOSE(CONTROL!$C$22, $C$13, 100%, $E$13)</f>
        <v>12.962300000000001</v>
      </c>
      <c r="I481" s="68">
        <f>12.969 * CHOOSE(CONTROL!$C$22, $C$13, 100%, $E$13)</f>
        <v>12.968999999999999</v>
      </c>
      <c r="J481" s="68">
        <f>8.4549 * CHOOSE(CONTROL!$C$22, $C$13, 100%, $E$13)</f>
        <v>8.4549000000000003</v>
      </c>
      <c r="K481" s="68">
        <f>8.4616 * CHOOSE(CONTROL!$C$22, $C$13, 100%, $E$13)</f>
        <v>8.4616000000000007</v>
      </c>
    </row>
    <row r="482" spans="1:11" ht="15">
      <c r="A482" s="13">
        <v>55793</v>
      </c>
      <c r="B482" s="67">
        <f>7.1545 * CHOOSE(CONTROL!$C$22, $C$13, 100%, $E$13)</f>
        <v>7.1544999999999996</v>
      </c>
      <c r="C482" s="67">
        <f>7.1545 * CHOOSE(CONTROL!$C$22, $C$13, 100%, $E$13)</f>
        <v>7.1544999999999996</v>
      </c>
      <c r="D482" s="67">
        <f>7.1583 * CHOOSE(CONTROL!$C$22, $C$13, 100%, $E$13)</f>
        <v>7.1582999999999997</v>
      </c>
      <c r="E482" s="68">
        <f>8.4995 * CHOOSE(CONTROL!$C$22, $C$13, 100%, $E$13)</f>
        <v>8.4994999999999994</v>
      </c>
      <c r="F482" s="68">
        <f>8.4995 * CHOOSE(CONTROL!$C$22, $C$13, 100%, $E$13)</f>
        <v>8.4994999999999994</v>
      </c>
      <c r="G482" s="68">
        <f>8.5043 * CHOOSE(CONTROL!$C$22, $C$13, 100%, $E$13)</f>
        <v>8.5043000000000006</v>
      </c>
      <c r="H482" s="68">
        <f>12.9893* CHOOSE(CONTROL!$C$22, $C$13, 100%, $E$13)</f>
        <v>12.9893</v>
      </c>
      <c r="I482" s="68">
        <f>12.994 * CHOOSE(CONTROL!$C$22, $C$13, 100%, $E$13)</f>
        <v>12.994</v>
      </c>
      <c r="J482" s="68">
        <f>8.4995 * CHOOSE(CONTROL!$C$22, $C$13, 100%, $E$13)</f>
        <v>8.4994999999999994</v>
      </c>
      <c r="K482" s="68">
        <f>8.5043 * CHOOSE(CONTROL!$C$22, $C$13, 100%, $E$13)</f>
        <v>8.5043000000000006</v>
      </c>
    </row>
    <row r="483" spans="1:11" ht="15">
      <c r="A483" s="13">
        <v>55824</v>
      </c>
      <c r="B483" s="67">
        <f>7.1575 * CHOOSE(CONTROL!$C$22, $C$13, 100%, $E$13)</f>
        <v>7.1574999999999998</v>
      </c>
      <c r="C483" s="67">
        <f>7.1575 * CHOOSE(CONTROL!$C$22, $C$13, 100%, $E$13)</f>
        <v>7.1574999999999998</v>
      </c>
      <c r="D483" s="67">
        <f>7.1614 * CHOOSE(CONTROL!$C$22, $C$13, 100%, $E$13)</f>
        <v>7.1614000000000004</v>
      </c>
      <c r="E483" s="68">
        <f>8.5307 * CHOOSE(CONTROL!$C$22, $C$13, 100%, $E$13)</f>
        <v>8.5306999999999995</v>
      </c>
      <c r="F483" s="68">
        <f>8.5307 * CHOOSE(CONTROL!$C$22, $C$13, 100%, $E$13)</f>
        <v>8.5306999999999995</v>
      </c>
      <c r="G483" s="68">
        <f>8.5354 * CHOOSE(CONTROL!$C$22, $C$13, 100%, $E$13)</f>
        <v>8.5353999999999992</v>
      </c>
      <c r="H483" s="68">
        <f>13.0163* CHOOSE(CONTROL!$C$22, $C$13, 100%, $E$13)</f>
        <v>13.016299999999999</v>
      </c>
      <c r="I483" s="68">
        <f>13.0211 * CHOOSE(CONTROL!$C$22, $C$13, 100%, $E$13)</f>
        <v>13.021100000000001</v>
      </c>
      <c r="J483" s="68">
        <f>8.5307 * CHOOSE(CONTROL!$C$22, $C$13, 100%, $E$13)</f>
        <v>8.5306999999999995</v>
      </c>
      <c r="K483" s="68">
        <f>8.5354 * CHOOSE(CONTROL!$C$22, $C$13, 100%, $E$13)</f>
        <v>8.5353999999999992</v>
      </c>
    </row>
    <row r="484" spans="1:11" ht="15">
      <c r="A484" s="13">
        <v>55854</v>
      </c>
      <c r="B484" s="67">
        <f>7.1575 * CHOOSE(CONTROL!$C$22, $C$13, 100%, $E$13)</f>
        <v>7.1574999999999998</v>
      </c>
      <c r="C484" s="67">
        <f>7.1575 * CHOOSE(CONTROL!$C$22, $C$13, 100%, $E$13)</f>
        <v>7.1574999999999998</v>
      </c>
      <c r="D484" s="67">
        <f>7.1614 * CHOOSE(CONTROL!$C$22, $C$13, 100%, $E$13)</f>
        <v>7.1614000000000004</v>
      </c>
      <c r="E484" s="68">
        <f>8.4581 * CHOOSE(CONTROL!$C$22, $C$13, 100%, $E$13)</f>
        <v>8.4581</v>
      </c>
      <c r="F484" s="68">
        <f>8.4581 * CHOOSE(CONTROL!$C$22, $C$13, 100%, $E$13)</f>
        <v>8.4581</v>
      </c>
      <c r="G484" s="68">
        <f>8.4629 * CHOOSE(CONTROL!$C$22, $C$13, 100%, $E$13)</f>
        <v>8.4628999999999994</v>
      </c>
      <c r="H484" s="68">
        <f>13.0435* CHOOSE(CONTROL!$C$22, $C$13, 100%, $E$13)</f>
        <v>13.0435</v>
      </c>
      <c r="I484" s="68">
        <f>13.0482 * CHOOSE(CONTROL!$C$22, $C$13, 100%, $E$13)</f>
        <v>13.0482</v>
      </c>
      <c r="J484" s="68">
        <f>8.4581 * CHOOSE(CONTROL!$C$22, $C$13, 100%, $E$13)</f>
        <v>8.4581</v>
      </c>
      <c r="K484" s="68">
        <f>8.4629 * CHOOSE(CONTROL!$C$22, $C$13, 100%, $E$13)</f>
        <v>8.4628999999999994</v>
      </c>
    </row>
    <row r="485" spans="1:11" ht="15">
      <c r="A485" s="13">
        <v>55885</v>
      </c>
      <c r="B485" s="67">
        <f>7.2193 * CHOOSE(CONTROL!$C$22, $C$13, 100%, $E$13)</f>
        <v>7.2192999999999996</v>
      </c>
      <c r="C485" s="67">
        <f>7.2193 * CHOOSE(CONTROL!$C$22, $C$13, 100%, $E$13)</f>
        <v>7.2192999999999996</v>
      </c>
      <c r="D485" s="67">
        <f>7.2232 * CHOOSE(CONTROL!$C$22, $C$13, 100%, $E$13)</f>
        <v>7.2232000000000003</v>
      </c>
      <c r="E485" s="68">
        <f>8.5793 * CHOOSE(CONTROL!$C$22, $C$13, 100%, $E$13)</f>
        <v>8.5792999999999999</v>
      </c>
      <c r="F485" s="68">
        <f>8.5793 * CHOOSE(CONTROL!$C$22, $C$13, 100%, $E$13)</f>
        <v>8.5792999999999999</v>
      </c>
      <c r="G485" s="68">
        <f>8.5841 * CHOOSE(CONTROL!$C$22, $C$13, 100%, $E$13)</f>
        <v>8.5840999999999994</v>
      </c>
      <c r="H485" s="68">
        <f>13.0706* CHOOSE(CONTROL!$C$22, $C$13, 100%, $E$13)</f>
        <v>13.070600000000001</v>
      </c>
      <c r="I485" s="68">
        <f>13.0754 * CHOOSE(CONTROL!$C$22, $C$13, 100%, $E$13)</f>
        <v>13.0754</v>
      </c>
      <c r="J485" s="68">
        <f>8.5793 * CHOOSE(CONTROL!$C$22, $C$13, 100%, $E$13)</f>
        <v>8.5792999999999999</v>
      </c>
      <c r="K485" s="68">
        <f>8.5841 * CHOOSE(CONTROL!$C$22, $C$13, 100%, $E$13)</f>
        <v>8.5840999999999994</v>
      </c>
    </row>
    <row r="486" spans="1:11" ht="15">
      <c r="A486" s="13">
        <v>55916</v>
      </c>
      <c r="B486" s="67">
        <f>7.2163 * CHOOSE(CONTROL!$C$22, $C$13, 100%, $E$13)</f>
        <v>7.2163000000000004</v>
      </c>
      <c r="C486" s="67">
        <f>7.2163 * CHOOSE(CONTROL!$C$22, $C$13, 100%, $E$13)</f>
        <v>7.2163000000000004</v>
      </c>
      <c r="D486" s="67">
        <f>7.2202 * CHOOSE(CONTROL!$C$22, $C$13, 100%, $E$13)</f>
        <v>7.2202000000000002</v>
      </c>
      <c r="E486" s="68">
        <f>8.4362 * CHOOSE(CONTROL!$C$22, $C$13, 100%, $E$13)</f>
        <v>8.4361999999999995</v>
      </c>
      <c r="F486" s="68">
        <f>8.4362 * CHOOSE(CONTROL!$C$22, $C$13, 100%, $E$13)</f>
        <v>8.4361999999999995</v>
      </c>
      <c r="G486" s="68">
        <f>8.441 * CHOOSE(CONTROL!$C$22, $C$13, 100%, $E$13)</f>
        <v>8.4410000000000007</v>
      </c>
      <c r="H486" s="68">
        <f>13.0979* CHOOSE(CONTROL!$C$22, $C$13, 100%, $E$13)</f>
        <v>13.097899999999999</v>
      </c>
      <c r="I486" s="68">
        <f>13.1026 * CHOOSE(CONTROL!$C$22, $C$13, 100%, $E$13)</f>
        <v>13.102600000000001</v>
      </c>
      <c r="J486" s="68">
        <f>8.4362 * CHOOSE(CONTROL!$C$22, $C$13, 100%, $E$13)</f>
        <v>8.4361999999999995</v>
      </c>
      <c r="K486" s="68">
        <f>8.441 * CHOOSE(CONTROL!$C$22, $C$13, 100%, $E$13)</f>
        <v>8.4410000000000007</v>
      </c>
    </row>
    <row r="487" spans="1:11" ht="15">
      <c r="A487" s="13">
        <v>55944</v>
      </c>
      <c r="B487" s="67">
        <f>7.2133 * CHOOSE(CONTROL!$C$22, $C$13, 100%, $E$13)</f>
        <v>7.2133000000000003</v>
      </c>
      <c r="C487" s="67">
        <f>7.2133 * CHOOSE(CONTROL!$C$22, $C$13, 100%, $E$13)</f>
        <v>7.2133000000000003</v>
      </c>
      <c r="D487" s="67">
        <f>7.2171 * CHOOSE(CONTROL!$C$22, $C$13, 100%, $E$13)</f>
        <v>7.2171000000000003</v>
      </c>
      <c r="E487" s="68">
        <f>8.5452 * CHOOSE(CONTROL!$C$22, $C$13, 100%, $E$13)</f>
        <v>8.5451999999999995</v>
      </c>
      <c r="F487" s="68">
        <f>8.5452 * CHOOSE(CONTROL!$C$22, $C$13, 100%, $E$13)</f>
        <v>8.5451999999999995</v>
      </c>
      <c r="G487" s="68">
        <f>8.55 * CHOOSE(CONTROL!$C$22, $C$13, 100%, $E$13)</f>
        <v>8.5500000000000007</v>
      </c>
      <c r="H487" s="68">
        <f>13.1251* CHOOSE(CONTROL!$C$22, $C$13, 100%, $E$13)</f>
        <v>13.1251</v>
      </c>
      <c r="I487" s="68">
        <f>13.1299 * CHOOSE(CONTROL!$C$22, $C$13, 100%, $E$13)</f>
        <v>13.129899999999999</v>
      </c>
      <c r="J487" s="68">
        <f>8.5452 * CHOOSE(CONTROL!$C$22, $C$13, 100%, $E$13)</f>
        <v>8.5451999999999995</v>
      </c>
      <c r="K487" s="68">
        <f>8.55 * CHOOSE(CONTROL!$C$22, $C$13, 100%, $E$13)</f>
        <v>8.5500000000000007</v>
      </c>
    </row>
    <row r="488" spans="1:11" ht="15">
      <c r="A488" s="13">
        <v>55975</v>
      </c>
      <c r="B488" s="67">
        <f>7.2137 * CHOOSE(CONTROL!$C$22, $C$13, 100%, $E$13)</f>
        <v>7.2137000000000002</v>
      </c>
      <c r="C488" s="67">
        <f>7.2137 * CHOOSE(CONTROL!$C$22, $C$13, 100%, $E$13)</f>
        <v>7.2137000000000002</v>
      </c>
      <c r="D488" s="67">
        <f>7.2175 * CHOOSE(CONTROL!$C$22, $C$13, 100%, $E$13)</f>
        <v>7.2175000000000002</v>
      </c>
      <c r="E488" s="68">
        <f>8.6604 * CHOOSE(CONTROL!$C$22, $C$13, 100%, $E$13)</f>
        <v>8.6603999999999992</v>
      </c>
      <c r="F488" s="68">
        <f>8.6604 * CHOOSE(CONTROL!$C$22, $C$13, 100%, $E$13)</f>
        <v>8.6603999999999992</v>
      </c>
      <c r="G488" s="68">
        <f>8.6651 * CHOOSE(CONTROL!$C$22, $C$13, 100%, $E$13)</f>
        <v>8.6651000000000007</v>
      </c>
      <c r="H488" s="68">
        <f>13.1525* CHOOSE(CONTROL!$C$22, $C$13, 100%, $E$13)</f>
        <v>13.1525</v>
      </c>
      <c r="I488" s="68">
        <f>13.1573 * CHOOSE(CONTROL!$C$22, $C$13, 100%, $E$13)</f>
        <v>13.157299999999999</v>
      </c>
      <c r="J488" s="68">
        <f>8.6604 * CHOOSE(CONTROL!$C$22, $C$13, 100%, $E$13)</f>
        <v>8.6603999999999992</v>
      </c>
      <c r="K488" s="68">
        <f>8.6651 * CHOOSE(CONTROL!$C$22, $C$13, 100%, $E$13)</f>
        <v>8.6651000000000007</v>
      </c>
    </row>
    <row r="489" spans="1:11" ht="15">
      <c r="A489" s="13">
        <v>56005</v>
      </c>
      <c r="B489" s="67">
        <f>7.2137 * CHOOSE(CONTROL!$C$22, $C$13, 100%, $E$13)</f>
        <v>7.2137000000000002</v>
      </c>
      <c r="C489" s="67">
        <f>7.2137 * CHOOSE(CONTROL!$C$22, $C$13, 100%, $E$13)</f>
        <v>7.2137000000000002</v>
      </c>
      <c r="D489" s="67">
        <f>7.2192 * CHOOSE(CONTROL!$C$22, $C$13, 100%, $E$13)</f>
        <v>7.2191999999999998</v>
      </c>
      <c r="E489" s="68">
        <f>8.7051 * CHOOSE(CONTROL!$C$22, $C$13, 100%, $E$13)</f>
        <v>8.7050999999999998</v>
      </c>
      <c r="F489" s="68">
        <f>8.7051 * CHOOSE(CONTROL!$C$22, $C$13, 100%, $E$13)</f>
        <v>8.7050999999999998</v>
      </c>
      <c r="G489" s="68">
        <f>8.7119 * CHOOSE(CONTROL!$C$22, $C$13, 100%, $E$13)</f>
        <v>8.7119</v>
      </c>
      <c r="H489" s="68">
        <f>13.1799* CHOOSE(CONTROL!$C$22, $C$13, 100%, $E$13)</f>
        <v>13.1799</v>
      </c>
      <c r="I489" s="68">
        <f>13.1866 * CHOOSE(CONTROL!$C$22, $C$13, 100%, $E$13)</f>
        <v>13.1866</v>
      </c>
      <c r="J489" s="68">
        <f>8.7051 * CHOOSE(CONTROL!$C$22, $C$13, 100%, $E$13)</f>
        <v>8.7050999999999998</v>
      </c>
      <c r="K489" s="68">
        <f>8.7119 * CHOOSE(CONTROL!$C$22, $C$13, 100%, $E$13)</f>
        <v>8.7119</v>
      </c>
    </row>
    <row r="490" spans="1:11" ht="15">
      <c r="A490" s="13">
        <v>56036</v>
      </c>
      <c r="B490" s="67">
        <f>7.2198 * CHOOSE(CONTROL!$C$22, $C$13, 100%, $E$13)</f>
        <v>7.2198000000000002</v>
      </c>
      <c r="C490" s="67">
        <f>7.2198 * CHOOSE(CONTROL!$C$22, $C$13, 100%, $E$13)</f>
        <v>7.2198000000000002</v>
      </c>
      <c r="D490" s="67">
        <f>7.2253 * CHOOSE(CONTROL!$C$22, $C$13, 100%, $E$13)</f>
        <v>7.2252999999999998</v>
      </c>
      <c r="E490" s="68">
        <f>8.6646 * CHOOSE(CONTROL!$C$22, $C$13, 100%, $E$13)</f>
        <v>8.6646000000000001</v>
      </c>
      <c r="F490" s="68">
        <f>8.6646 * CHOOSE(CONTROL!$C$22, $C$13, 100%, $E$13)</f>
        <v>8.6646000000000001</v>
      </c>
      <c r="G490" s="68">
        <f>8.6714 * CHOOSE(CONTROL!$C$22, $C$13, 100%, $E$13)</f>
        <v>8.6714000000000002</v>
      </c>
      <c r="H490" s="68">
        <f>13.2074* CHOOSE(CONTROL!$C$22, $C$13, 100%, $E$13)</f>
        <v>13.2074</v>
      </c>
      <c r="I490" s="68">
        <f>13.2141 * CHOOSE(CONTROL!$C$22, $C$13, 100%, $E$13)</f>
        <v>13.2141</v>
      </c>
      <c r="J490" s="68">
        <f>8.6646 * CHOOSE(CONTROL!$C$22, $C$13, 100%, $E$13)</f>
        <v>8.6646000000000001</v>
      </c>
      <c r="K490" s="68">
        <f>8.6714 * CHOOSE(CONTROL!$C$22, $C$13, 100%, $E$13)</f>
        <v>8.6714000000000002</v>
      </c>
    </row>
    <row r="491" spans="1:11" ht="15">
      <c r="A491" s="13">
        <v>56066</v>
      </c>
      <c r="B491" s="67">
        <f>7.334 * CHOOSE(CONTROL!$C$22, $C$13, 100%, $E$13)</f>
        <v>7.3339999999999996</v>
      </c>
      <c r="C491" s="67">
        <f>7.334 * CHOOSE(CONTROL!$C$22, $C$13, 100%, $E$13)</f>
        <v>7.3339999999999996</v>
      </c>
      <c r="D491" s="67">
        <f>7.3395 * CHOOSE(CONTROL!$C$22, $C$13, 100%, $E$13)</f>
        <v>7.3395000000000001</v>
      </c>
      <c r="E491" s="68">
        <f>8.8078 * CHOOSE(CONTROL!$C$22, $C$13, 100%, $E$13)</f>
        <v>8.8078000000000003</v>
      </c>
      <c r="F491" s="68">
        <f>8.8078 * CHOOSE(CONTROL!$C$22, $C$13, 100%, $E$13)</f>
        <v>8.8078000000000003</v>
      </c>
      <c r="G491" s="68">
        <f>8.8146 * CHOOSE(CONTROL!$C$22, $C$13, 100%, $E$13)</f>
        <v>8.8146000000000004</v>
      </c>
      <c r="H491" s="68">
        <f>13.2349* CHOOSE(CONTROL!$C$22, $C$13, 100%, $E$13)</f>
        <v>13.2349</v>
      </c>
      <c r="I491" s="68">
        <f>13.2416 * CHOOSE(CONTROL!$C$22, $C$13, 100%, $E$13)</f>
        <v>13.2416</v>
      </c>
      <c r="J491" s="68">
        <f>8.8078 * CHOOSE(CONTROL!$C$22, $C$13, 100%, $E$13)</f>
        <v>8.8078000000000003</v>
      </c>
      <c r="K491" s="68">
        <f>8.8146 * CHOOSE(CONTROL!$C$22, $C$13, 100%, $E$13)</f>
        <v>8.8146000000000004</v>
      </c>
    </row>
    <row r="492" spans="1:11" ht="15">
      <c r="A492" s="13">
        <v>56097</v>
      </c>
      <c r="B492" s="67">
        <f>7.3407 * CHOOSE(CONTROL!$C$22, $C$13, 100%, $E$13)</f>
        <v>7.3407</v>
      </c>
      <c r="C492" s="67">
        <f>7.3407 * CHOOSE(CONTROL!$C$22, $C$13, 100%, $E$13)</f>
        <v>7.3407</v>
      </c>
      <c r="D492" s="67">
        <f>7.3462 * CHOOSE(CONTROL!$C$22, $C$13, 100%, $E$13)</f>
        <v>7.3461999999999996</v>
      </c>
      <c r="E492" s="68">
        <f>8.6782 * CHOOSE(CONTROL!$C$22, $C$13, 100%, $E$13)</f>
        <v>8.6782000000000004</v>
      </c>
      <c r="F492" s="68">
        <f>8.6782 * CHOOSE(CONTROL!$C$22, $C$13, 100%, $E$13)</f>
        <v>8.6782000000000004</v>
      </c>
      <c r="G492" s="68">
        <f>8.6849 * CHOOSE(CONTROL!$C$22, $C$13, 100%, $E$13)</f>
        <v>8.6849000000000007</v>
      </c>
      <c r="H492" s="68">
        <f>13.2624* CHOOSE(CONTROL!$C$22, $C$13, 100%, $E$13)</f>
        <v>13.2624</v>
      </c>
      <c r="I492" s="68">
        <f>13.2692 * CHOOSE(CONTROL!$C$22, $C$13, 100%, $E$13)</f>
        <v>13.2692</v>
      </c>
      <c r="J492" s="68">
        <f>8.6782 * CHOOSE(CONTROL!$C$22, $C$13, 100%, $E$13)</f>
        <v>8.6782000000000004</v>
      </c>
      <c r="K492" s="68">
        <f>8.6849 * CHOOSE(CONTROL!$C$22, $C$13, 100%, $E$13)</f>
        <v>8.6849000000000007</v>
      </c>
    </row>
    <row r="493" spans="1:11" ht="15">
      <c r="A493" s="13">
        <v>56128</v>
      </c>
      <c r="B493" s="67">
        <f>7.3377 * CHOOSE(CONTROL!$C$22, $C$13, 100%, $E$13)</f>
        <v>7.3376999999999999</v>
      </c>
      <c r="C493" s="67">
        <f>7.3377 * CHOOSE(CONTROL!$C$22, $C$13, 100%, $E$13)</f>
        <v>7.3376999999999999</v>
      </c>
      <c r="D493" s="67">
        <f>7.3432 * CHOOSE(CONTROL!$C$22, $C$13, 100%, $E$13)</f>
        <v>7.3432000000000004</v>
      </c>
      <c r="E493" s="68">
        <f>8.6611 * CHOOSE(CONTROL!$C$22, $C$13, 100%, $E$13)</f>
        <v>8.6610999999999994</v>
      </c>
      <c r="F493" s="68">
        <f>8.6611 * CHOOSE(CONTROL!$C$22, $C$13, 100%, $E$13)</f>
        <v>8.6610999999999994</v>
      </c>
      <c r="G493" s="68">
        <f>8.6679 * CHOOSE(CONTROL!$C$22, $C$13, 100%, $E$13)</f>
        <v>8.6678999999999995</v>
      </c>
      <c r="H493" s="68">
        <f>13.2901* CHOOSE(CONTROL!$C$22, $C$13, 100%, $E$13)</f>
        <v>13.290100000000001</v>
      </c>
      <c r="I493" s="68">
        <f>13.2968 * CHOOSE(CONTROL!$C$22, $C$13, 100%, $E$13)</f>
        <v>13.296799999999999</v>
      </c>
      <c r="J493" s="68">
        <f>8.6611 * CHOOSE(CONTROL!$C$22, $C$13, 100%, $E$13)</f>
        <v>8.6610999999999994</v>
      </c>
      <c r="K493" s="68">
        <f>8.6679 * CHOOSE(CONTROL!$C$22, $C$13, 100%, $E$13)</f>
        <v>8.6678999999999995</v>
      </c>
    </row>
    <row r="494" spans="1:11" ht="15">
      <c r="A494" s="13">
        <v>56158</v>
      </c>
      <c r="B494" s="67">
        <f>7.3437 * CHOOSE(CONTROL!$C$22, $C$13, 100%, $E$13)</f>
        <v>7.3437000000000001</v>
      </c>
      <c r="C494" s="67">
        <f>7.3437 * CHOOSE(CONTROL!$C$22, $C$13, 100%, $E$13)</f>
        <v>7.3437000000000001</v>
      </c>
      <c r="D494" s="67">
        <f>7.3476 * CHOOSE(CONTROL!$C$22, $C$13, 100%, $E$13)</f>
        <v>7.3475999999999999</v>
      </c>
      <c r="E494" s="68">
        <f>8.7074 * CHOOSE(CONTROL!$C$22, $C$13, 100%, $E$13)</f>
        <v>8.7073999999999998</v>
      </c>
      <c r="F494" s="68">
        <f>8.7074 * CHOOSE(CONTROL!$C$22, $C$13, 100%, $E$13)</f>
        <v>8.7073999999999998</v>
      </c>
      <c r="G494" s="68">
        <f>8.7122 * CHOOSE(CONTROL!$C$22, $C$13, 100%, $E$13)</f>
        <v>8.7121999999999993</v>
      </c>
      <c r="H494" s="68">
        <f>13.3178* CHOOSE(CONTROL!$C$22, $C$13, 100%, $E$13)</f>
        <v>13.3178</v>
      </c>
      <c r="I494" s="68">
        <f>13.3225 * CHOOSE(CONTROL!$C$22, $C$13, 100%, $E$13)</f>
        <v>13.3225</v>
      </c>
      <c r="J494" s="68">
        <f>8.7074 * CHOOSE(CONTROL!$C$22, $C$13, 100%, $E$13)</f>
        <v>8.7073999999999998</v>
      </c>
      <c r="K494" s="68">
        <f>8.7122 * CHOOSE(CONTROL!$C$22, $C$13, 100%, $E$13)</f>
        <v>8.7121999999999993</v>
      </c>
    </row>
    <row r="495" spans="1:11" ht="15">
      <c r="A495" s="13">
        <v>56189</v>
      </c>
      <c r="B495" s="67">
        <f>7.3468 * CHOOSE(CONTROL!$C$22, $C$13, 100%, $E$13)</f>
        <v>7.3468</v>
      </c>
      <c r="C495" s="67">
        <f>7.3468 * CHOOSE(CONTROL!$C$22, $C$13, 100%, $E$13)</f>
        <v>7.3468</v>
      </c>
      <c r="D495" s="67">
        <f>7.3506 * CHOOSE(CONTROL!$C$22, $C$13, 100%, $E$13)</f>
        <v>7.3506</v>
      </c>
      <c r="E495" s="68">
        <f>8.7394 * CHOOSE(CONTROL!$C$22, $C$13, 100%, $E$13)</f>
        <v>8.7393999999999998</v>
      </c>
      <c r="F495" s="68">
        <f>8.7394 * CHOOSE(CONTROL!$C$22, $C$13, 100%, $E$13)</f>
        <v>8.7393999999999998</v>
      </c>
      <c r="G495" s="68">
        <f>8.7441 * CHOOSE(CONTROL!$C$22, $C$13, 100%, $E$13)</f>
        <v>8.7440999999999995</v>
      </c>
      <c r="H495" s="68">
        <f>13.3455* CHOOSE(CONTROL!$C$22, $C$13, 100%, $E$13)</f>
        <v>13.345499999999999</v>
      </c>
      <c r="I495" s="68">
        <f>13.3503 * CHOOSE(CONTROL!$C$22, $C$13, 100%, $E$13)</f>
        <v>13.350300000000001</v>
      </c>
      <c r="J495" s="68">
        <f>8.7394 * CHOOSE(CONTROL!$C$22, $C$13, 100%, $E$13)</f>
        <v>8.7393999999999998</v>
      </c>
      <c r="K495" s="68">
        <f>8.7441 * CHOOSE(CONTROL!$C$22, $C$13, 100%, $E$13)</f>
        <v>8.7440999999999995</v>
      </c>
    </row>
    <row r="496" spans="1:11" ht="15">
      <c r="A496" s="13">
        <v>56219</v>
      </c>
      <c r="B496" s="67">
        <f>7.3468 * CHOOSE(CONTROL!$C$22, $C$13, 100%, $E$13)</f>
        <v>7.3468</v>
      </c>
      <c r="C496" s="67">
        <f>7.3468 * CHOOSE(CONTROL!$C$22, $C$13, 100%, $E$13)</f>
        <v>7.3468</v>
      </c>
      <c r="D496" s="67">
        <f>7.3506 * CHOOSE(CONTROL!$C$22, $C$13, 100%, $E$13)</f>
        <v>7.3506</v>
      </c>
      <c r="E496" s="68">
        <f>8.6648 * CHOOSE(CONTROL!$C$22, $C$13, 100%, $E$13)</f>
        <v>8.6647999999999996</v>
      </c>
      <c r="F496" s="68">
        <f>8.6648 * CHOOSE(CONTROL!$C$22, $C$13, 100%, $E$13)</f>
        <v>8.6647999999999996</v>
      </c>
      <c r="G496" s="68">
        <f>8.6695 * CHOOSE(CONTROL!$C$22, $C$13, 100%, $E$13)</f>
        <v>8.6694999999999993</v>
      </c>
      <c r="H496" s="68">
        <f>13.3733* CHOOSE(CONTROL!$C$22, $C$13, 100%, $E$13)</f>
        <v>13.3733</v>
      </c>
      <c r="I496" s="68">
        <f>13.3781 * CHOOSE(CONTROL!$C$22, $C$13, 100%, $E$13)</f>
        <v>13.3781</v>
      </c>
      <c r="J496" s="68">
        <f>8.6648 * CHOOSE(CONTROL!$C$22, $C$13, 100%, $E$13)</f>
        <v>8.6647999999999996</v>
      </c>
      <c r="K496" s="68">
        <f>8.6695 * CHOOSE(CONTROL!$C$22, $C$13, 100%, $E$13)</f>
        <v>8.6694999999999993</v>
      </c>
    </row>
    <row r="497" spans="1:11" ht="15">
      <c r="A497" s="13">
        <v>56250</v>
      </c>
      <c r="B497" s="67">
        <f>7.4101 * CHOOSE(CONTROL!$C$22, $C$13, 100%, $E$13)</f>
        <v>7.4100999999999999</v>
      </c>
      <c r="C497" s="67">
        <f>7.4101 * CHOOSE(CONTROL!$C$22, $C$13, 100%, $E$13)</f>
        <v>7.4100999999999999</v>
      </c>
      <c r="D497" s="67">
        <f>7.414 * CHOOSE(CONTROL!$C$22, $C$13, 100%, $E$13)</f>
        <v>7.4139999999999997</v>
      </c>
      <c r="E497" s="68">
        <f>8.7891 * CHOOSE(CONTROL!$C$22, $C$13, 100%, $E$13)</f>
        <v>8.7890999999999995</v>
      </c>
      <c r="F497" s="68">
        <f>8.7891 * CHOOSE(CONTROL!$C$22, $C$13, 100%, $E$13)</f>
        <v>8.7890999999999995</v>
      </c>
      <c r="G497" s="68">
        <f>8.7938 * CHOOSE(CONTROL!$C$22, $C$13, 100%, $E$13)</f>
        <v>8.7937999999999992</v>
      </c>
      <c r="H497" s="68">
        <f>13.4012* CHOOSE(CONTROL!$C$22, $C$13, 100%, $E$13)</f>
        <v>13.401199999999999</v>
      </c>
      <c r="I497" s="68">
        <f>13.4059 * CHOOSE(CONTROL!$C$22, $C$13, 100%, $E$13)</f>
        <v>13.405900000000001</v>
      </c>
      <c r="J497" s="68">
        <f>8.7891 * CHOOSE(CONTROL!$C$22, $C$13, 100%, $E$13)</f>
        <v>8.7890999999999995</v>
      </c>
      <c r="K497" s="68">
        <f>8.7938 * CHOOSE(CONTROL!$C$22, $C$13, 100%, $E$13)</f>
        <v>8.7937999999999992</v>
      </c>
    </row>
    <row r="498" spans="1:11" ht="15">
      <c r="A498" s="13">
        <v>56281</v>
      </c>
      <c r="B498" s="67">
        <f>7.4071 * CHOOSE(CONTROL!$C$22, $C$13, 100%, $E$13)</f>
        <v>7.4070999999999998</v>
      </c>
      <c r="C498" s="67">
        <f>7.4071 * CHOOSE(CONTROL!$C$22, $C$13, 100%, $E$13)</f>
        <v>7.4070999999999998</v>
      </c>
      <c r="D498" s="67">
        <f>7.411 * CHOOSE(CONTROL!$C$22, $C$13, 100%, $E$13)</f>
        <v>7.4109999999999996</v>
      </c>
      <c r="E498" s="68">
        <f>8.642 * CHOOSE(CONTROL!$C$22, $C$13, 100%, $E$13)</f>
        <v>8.6419999999999995</v>
      </c>
      <c r="F498" s="68">
        <f>8.642 * CHOOSE(CONTROL!$C$22, $C$13, 100%, $E$13)</f>
        <v>8.6419999999999995</v>
      </c>
      <c r="G498" s="68">
        <f>8.6468 * CHOOSE(CONTROL!$C$22, $C$13, 100%, $E$13)</f>
        <v>8.6468000000000007</v>
      </c>
      <c r="H498" s="68">
        <f>13.4291* CHOOSE(CONTROL!$C$22, $C$13, 100%, $E$13)</f>
        <v>13.4291</v>
      </c>
      <c r="I498" s="68">
        <f>13.4339 * CHOOSE(CONTROL!$C$22, $C$13, 100%, $E$13)</f>
        <v>13.4339</v>
      </c>
      <c r="J498" s="68">
        <f>8.642 * CHOOSE(CONTROL!$C$22, $C$13, 100%, $E$13)</f>
        <v>8.6419999999999995</v>
      </c>
      <c r="K498" s="68">
        <f>8.6468 * CHOOSE(CONTROL!$C$22, $C$13, 100%, $E$13)</f>
        <v>8.6468000000000007</v>
      </c>
    </row>
    <row r="499" spans="1:11" ht="15">
      <c r="A499" s="13">
        <v>56309</v>
      </c>
      <c r="B499" s="67">
        <f>7.4041 * CHOOSE(CONTROL!$C$22, $C$13, 100%, $E$13)</f>
        <v>7.4040999999999997</v>
      </c>
      <c r="C499" s="67">
        <f>7.4041 * CHOOSE(CONTROL!$C$22, $C$13, 100%, $E$13)</f>
        <v>7.4040999999999997</v>
      </c>
      <c r="D499" s="67">
        <f>7.4079 * CHOOSE(CONTROL!$C$22, $C$13, 100%, $E$13)</f>
        <v>7.4078999999999997</v>
      </c>
      <c r="E499" s="68">
        <f>8.7542 * CHOOSE(CONTROL!$C$22, $C$13, 100%, $E$13)</f>
        <v>8.7542000000000009</v>
      </c>
      <c r="F499" s="68">
        <f>8.7542 * CHOOSE(CONTROL!$C$22, $C$13, 100%, $E$13)</f>
        <v>8.7542000000000009</v>
      </c>
      <c r="G499" s="68">
        <f>8.7589 * CHOOSE(CONTROL!$C$22, $C$13, 100%, $E$13)</f>
        <v>8.7589000000000006</v>
      </c>
      <c r="H499" s="68">
        <f>13.4571* CHOOSE(CONTROL!$C$22, $C$13, 100%, $E$13)</f>
        <v>13.457100000000001</v>
      </c>
      <c r="I499" s="68">
        <f>13.4618 * CHOOSE(CONTROL!$C$22, $C$13, 100%, $E$13)</f>
        <v>13.4618</v>
      </c>
      <c r="J499" s="68">
        <f>8.7542 * CHOOSE(CONTROL!$C$22, $C$13, 100%, $E$13)</f>
        <v>8.7542000000000009</v>
      </c>
      <c r="K499" s="68">
        <f>8.7589 * CHOOSE(CONTROL!$C$22, $C$13, 100%, $E$13)</f>
        <v>8.7589000000000006</v>
      </c>
    </row>
    <row r="500" spans="1:11" ht="15">
      <c r="A500" s="13">
        <v>56340</v>
      </c>
      <c r="B500" s="67">
        <f>7.4046 * CHOOSE(CONTROL!$C$22, $C$13, 100%, $E$13)</f>
        <v>7.4046000000000003</v>
      </c>
      <c r="C500" s="67">
        <f>7.4046 * CHOOSE(CONTROL!$C$22, $C$13, 100%, $E$13)</f>
        <v>7.4046000000000003</v>
      </c>
      <c r="D500" s="67">
        <f>7.4085 * CHOOSE(CONTROL!$C$22, $C$13, 100%, $E$13)</f>
        <v>7.4085000000000001</v>
      </c>
      <c r="E500" s="68">
        <f>8.8727 * CHOOSE(CONTROL!$C$22, $C$13, 100%, $E$13)</f>
        <v>8.8727</v>
      </c>
      <c r="F500" s="68">
        <f>8.8727 * CHOOSE(CONTROL!$C$22, $C$13, 100%, $E$13)</f>
        <v>8.8727</v>
      </c>
      <c r="G500" s="68">
        <f>8.8774 * CHOOSE(CONTROL!$C$22, $C$13, 100%, $E$13)</f>
        <v>8.8773999999999997</v>
      </c>
      <c r="H500" s="68">
        <f>13.4851* CHOOSE(CONTROL!$C$22, $C$13, 100%, $E$13)</f>
        <v>13.485099999999999</v>
      </c>
      <c r="I500" s="68">
        <f>13.4899 * CHOOSE(CONTROL!$C$22, $C$13, 100%, $E$13)</f>
        <v>13.4899</v>
      </c>
      <c r="J500" s="68">
        <f>8.8727 * CHOOSE(CONTROL!$C$22, $C$13, 100%, $E$13)</f>
        <v>8.8727</v>
      </c>
      <c r="K500" s="68">
        <f>8.8774 * CHOOSE(CONTROL!$C$22, $C$13, 100%, $E$13)</f>
        <v>8.8773999999999997</v>
      </c>
    </row>
    <row r="501" spans="1:11" ht="15">
      <c r="A501" s="13">
        <v>56370</v>
      </c>
      <c r="B501" s="67">
        <f>7.4046 * CHOOSE(CONTROL!$C$22, $C$13, 100%, $E$13)</f>
        <v>7.4046000000000003</v>
      </c>
      <c r="C501" s="67">
        <f>7.4046 * CHOOSE(CONTROL!$C$22, $C$13, 100%, $E$13)</f>
        <v>7.4046000000000003</v>
      </c>
      <c r="D501" s="67">
        <f>7.4101 * CHOOSE(CONTROL!$C$22, $C$13, 100%, $E$13)</f>
        <v>7.4100999999999999</v>
      </c>
      <c r="E501" s="68">
        <f>8.9187 * CHOOSE(CONTROL!$C$22, $C$13, 100%, $E$13)</f>
        <v>8.9186999999999994</v>
      </c>
      <c r="F501" s="68">
        <f>8.9187 * CHOOSE(CONTROL!$C$22, $C$13, 100%, $E$13)</f>
        <v>8.9186999999999994</v>
      </c>
      <c r="G501" s="68">
        <f>8.9254 * CHOOSE(CONTROL!$C$22, $C$13, 100%, $E$13)</f>
        <v>8.9253999999999998</v>
      </c>
      <c r="H501" s="68">
        <f>13.5132* CHOOSE(CONTROL!$C$22, $C$13, 100%, $E$13)</f>
        <v>13.513199999999999</v>
      </c>
      <c r="I501" s="68">
        <f>13.5199 * CHOOSE(CONTROL!$C$22, $C$13, 100%, $E$13)</f>
        <v>13.5199</v>
      </c>
      <c r="J501" s="68">
        <f>8.9187 * CHOOSE(CONTROL!$C$22, $C$13, 100%, $E$13)</f>
        <v>8.9186999999999994</v>
      </c>
      <c r="K501" s="68">
        <f>8.9254 * CHOOSE(CONTROL!$C$22, $C$13, 100%, $E$13)</f>
        <v>8.9253999999999998</v>
      </c>
    </row>
    <row r="502" spans="1:11" ht="15">
      <c r="A502" s="13">
        <v>56401</v>
      </c>
      <c r="B502" s="67">
        <f>7.4107 * CHOOSE(CONTROL!$C$22, $C$13, 100%, $E$13)</f>
        <v>7.4107000000000003</v>
      </c>
      <c r="C502" s="67">
        <f>7.4107 * CHOOSE(CONTROL!$C$22, $C$13, 100%, $E$13)</f>
        <v>7.4107000000000003</v>
      </c>
      <c r="D502" s="67">
        <f>7.4162 * CHOOSE(CONTROL!$C$22, $C$13, 100%, $E$13)</f>
        <v>7.4161999999999999</v>
      </c>
      <c r="E502" s="68">
        <f>8.8769 * CHOOSE(CONTROL!$C$22, $C$13, 100%, $E$13)</f>
        <v>8.8768999999999991</v>
      </c>
      <c r="F502" s="68">
        <f>8.8769 * CHOOSE(CONTROL!$C$22, $C$13, 100%, $E$13)</f>
        <v>8.8768999999999991</v>
      </c>
      <c r="G502" s="68">
        <f>8.8836 * CHOOSE(CONTROL!$C$22, $C$13, 100%, $E$13)</f>
        <v>8.8835999999999995</v>
      </c>
      <c r="H502" s="68">
        <f>13.5413* CHOOSE(CONTROL!$C$22, $C$13, 100%, $E$13)</f>
        <v>13.5413</v>
      </c>
      <c r="I502" s="68">
        <f>13.5481 * CHOOSE(CONTROL!$C$22, $C$13, 100%, $E$13)</f>
        <v>13.5481</v>
      </c>
      <c r="J502" s="68">
        <f>8.8769 * CHOOSE(CONTROL!$C$22, $C$13, 100%, $E$13)</f>
        <v>8.8768999999999991</v>
      </c>
      <c r="K502" s="68">
        <f>8.8836 * CHOOSE(CONTROL!$C$22, $C$13, 100%, $E$13)</f>
        <v>8.8835999999999995</v>
      </c>
    </row>
    <row r="503" spans="1:11" ht="15">
      <c r="A503" s="13">
        <v>56431</v>
      </c>
      <c r="B503" s="67">
        <f>7.5277 * CHOOSE(CONTROL!$C$22, $C$13, 100%, $E$13)</f>
        <v>7.5277000000000003</v>
      </c>
      <c r="C503" s="67">
        <f>7.5277 * CHOOSE(CONTROL!$C$22, $C$13, 100%, $E$13)</f>
        <v>7.5277000000000003</v>
      </c>
      <c r="D503" s="67">
        <f>7.5332 * CHOOSE(CONTROL!$C$22, $C$13, 100%, $E$13)</f>
        <v>7.5331999999999999</v>
      </c>
      <c r="E503" s="68">
        <f>9.0233 * CHOOSE(CONTROL!$C$22, $C$13, 100%, $E$13)</f>
        <v>9.0233000000000008</v>
      </c>
      <c r="F503" s="68">
        <f>9.0233 * CHOOSE(CONTROL!$C$22, $C$13, 100%, $E$13)</f>
        <v>9.0233000000000008</v>
      </c>
      <c r="G503" s="68">
        <f>9.0301 * CHOOSE(CONTROL!$C$22, $C$13, 100%, $E$13)</f>
        <v>9.0300999999999991</v>
      </c>
      <c r="H503" s="68">
        <f>13.5696* CHOOSE(CONTROL!$C$22, $C$13, 100%, $E$13)</f>
        <v>13.569599999999999</v>
      </c>
      <c r="I503" s="68">
        <f>13.5763 * CHOOSE(CONTROL!$C$22, $C$13, 100%, $E$13)</f>
        <v>13.5763</v>
      </c>
      <c r="J503" s="68">
        <f>9.0233 * CHOOSE(CONTROL!$C$22, $C$13, 100%, $E$13)</f>
        <v>9.0233000000000008</v>
      </c>
      <c r="K503" s="68">
        <f>9.0301 * CHOOSE(CONTROL!$C$22, $C$13, 100%, $E$13)</f>
        <v>9.0300999999999991</v>
      </c>
    </row>
    <row r="504" spans="1:11" ht="15">
      <c r="A504" s="13">
        <v>56462</v>
      </c>
      <c r="B504" s="67">
        <f>7.5344 * CHOOSE(CONTROL!$C$22, $C$13, 100%, $E$13)</f>
        <v>7.5343999999999998</v>
      </c>
      <c r="C504" s="67">
        <f>7.5344 * CHOOSE(CONTROL!$C$22, $C$13, 100%, $E$13)</f>
        <v>7.5343999999999998</v>
      </c>
      <c r="D504" s="67">
        <f>7.5399 * CHOOSE(CONTROL!$C$22, $C$13, 100%, $E$13)</f>
        <v>7.5399000000000003</v>
      </c>
      <c r="E504" s="68">
        <f>8.8899 * CHOOSE(CONTROL!$C$22, $C$13, 100%, $E$13)</f>
        <v>8.8899000000000008</v>
      </c>
      <c r="F504" s="68">
        <f>8.8899 * CHOOSE(CONTROL!$C$22, $C$13, 100%, $E$13)</f>
        <v>8.8899000000000008</v>
      </c>
      <c r="G504" s="68">
        <f>8.8967 * CHOOSE(CONTROL!$C$22, $C$13, 100%, $E$13)</f>
        <v>8.8966999999999992</v>
      </c>
      <c r="H504" s="68">
        <f>13.5978* CHOOSE(CONTROL!$C$22, $C$13, 100%, $E$13)</f>
        <v>13.597799999999999</v>
      </c>
      <c r="I504" s="68">
        <f>13.6046 * CHOOSE(CONTROL!$C$22, $C$13, 100%, $E$13)</f>
        <v>13.6046</v>
      </c>
      <c r="J504" s="68">
        <f>8.8899 * CHOOSE(CONTROL!$C$22, $C$13, 100%, $E$13)</f>
        <v>8.8899000000000008</v>
      </c>
      <c r="K504" s="68">
        <f>8.8967 * CHOOSE(CONTROL!$C$22, $C$13, 100%, $E$13)</f>
        <v>8.8966999999999992</v>
      </c>
    </row>
    <row r="505" spans="1:11" ht="15">
      <c r="A505" s="13">
        <v>56493</v>
      </c>
      <c r="B505" s="67">
        <f>7.5314 * CHOOSE(CONTROL!$C$22, $C$13, 100%, $E$13)</f>
        <v>7.5313999999999997</v>
      </c>
      <c r="C505" s="67">
        <f>7.5314 * CHOOSE(CONTROL!$C$22, $C$13, 100%, $E$13)</f>
        <v>7.5313999999999997</v>
      </c>
      <c r="D505" s="67">
        <f>7.5369 * CHOOSE(CONTROL!$C$22, $C$13, 100%, $E$13)</f>
        <v>7.5369000000000002</v>
      </c>
      <c r="E505" s="68">
        <f>8.8725 * CHOOSE(CONTROL!$C$22, $C$13, 100%, $E$13)</f>
        <v>8.8725000000000005</v>
      </c>
      <c r="F505" s="68">
        <f>8.8725 * CHOOSE(CONTROL!$C$22, $C$13, 100%, $E$13)</f>
        <v>8.8725000000000005</v>
      </c>
      <c r="G505" s="68">
        <f>8.8792 * CHOOSE(CONTROL!$C$22, $C$13, 100%, $E$13)</f>
        <v>8.8792000000000009</v>
      </c>
      <c r="H505" s="68">
        <f>13.6262* CHOOSE(CONTROL!$C$22, $C$13, 100%, $E$13)</f>
        <v>13.626200000000001</v>
      </c>
      <c r="I505" s="68">
        <f>13.6329 * CHOOSE(CONTROL!$C$22, $C$13, 100%, $E$13)</f>
        <v>13.632899999999999</v>
      </c>
      <c r="J505" s="68">
        <f>8.8725 * CHOOSE(CONTROL!$C$22, $C$13, 100%, $E$13)</f>
        <v>8.8725000000000005</v>
      </c>
      <c r="K505" s="68">
        <f>8.8792 * CHOOSE(CONTROL!$C$22, $C$13, 100%, $E$13)</f>
        <v>8.8792000000000009</v>
      </c>
    </row>
    <row r="506" spans="1:11" ht="15">
      <c r="A506" s="13">
        <v>56523</v>
      </c>
      <c r="B506" s="67">
        <f>7.5381 * CHOOSE(CONTROL!$C$22, $C$13, 100%, $E$13)</f>
        <v>7.5381</v>
      </c>
      <c r="C506" s="67">
        <f>7.5381 * CHOOSE(CONTROL!$C$22, $C$13, 100%, $E$13)</f>
        <v>7.5381</v>
      </c>
      <c r="D506" s="67">
        <f>7.5419 * CHOOSE(CONTROL!$C$22, $C$13, 100%, $E$13)</f>
        <v>7.5419</v>
      </c>
      <c r="E506" s="68">
        <f>8.9204 * CHOOSE(CONTROL!$C$22, $C$13, 100%, $E$13)</f>
        <v>8.9204000000000008</v>
      </c>
      <c r="F506" s="68">
        <f>8.9204 * CHOOSE(CONTROL!$C$22, $C$13, 100%, $E$13)</f>
        <v>8.9204000000000008</v>
      </c>
      <c r="G506" s="68">
        <f>8.9252 * CHOOSE(CONTROL!$C$22, $C$13, 100%, $E$13)</f>
        <v>8.9252000000000002</v>
      </c>
      <c r="H506" s="68">
        <f>13.6545* CHOOSE(CONTROL!$C$22, $C$13, 100%, $E$13)</f>
        <v>13.654500000000001</v>
      </c>
      <c r="I506" s="68">
        <f>13.6593 * CHOOSE(CONTROL!$C$22, $C$13, 100%, $E$13)</f>
        <v>13.6593</v>
      </c>
      <c r="J506" s="68">
        <f>8.9204 * CHOOSE(CONTROL!$C$22, $C$13, 100%, $E$13)</f>
        <v>8.9204000000000008</v>
      </c>
      <c r="K506" s="68">
        <f>8.9252 * CHOOSE(CONTROL!$C$22, $C$13, 100%, $E$13)</f>
        <v>8.9252000000000002</v>
      </c>
    </row>
    <row r="507" spans="1:11" ht="15">
      <c r="A507" s="13">
        <v>56554</v>
      </c>
      <c r="B507" s="67">
        <f>7.5411 * CHOOSE(CONTROL!$C$22, $C$13, 100%, $E$13)</f>
        <v>7.5411000000000001</v>
      </c>
      <c r="C507" s="67">
        <f>7.5411 * CHOOSE(CONTROL!$C$22, $C$13, 100%, $E$13)</f>
        <v>7.5411000000000001</v>
      </c>
      <c r="D507" s="67">
        <f>7.545 * CHOOSE(CONTROL!$C$22, $C$13, 100%, $E$13)</f>
        <v>7.5449999999999999</v>
      </c>
      <c r="E507" s="68">
        <f>8.9532 * CHOOSE(CONTROL!$C$22, $C$13, 100%, $E$13)</f>
        <v>8.9532000000000007</v>
      </c>
      <c r="F507" s="68">
        <f>8.9532 * CHOOSE(CONTROL!$C$22, $C$13, 100%, $E$13)</f>
        <v>8.9532000000000007</v>
      </c>
      <c r="G507" s="68">
        <f>8.958 * CHOOSE(CONTROL!$C$22, $C$13, 100%, $E$13)</f>
        <v>8.9580000000000002</v>
      </c>
      <c r="H507" s="68">
        <f>13.683* CHOOSE(CONTROL!$C$22, $C$13, 100%, $E$13)</f>
        <v>13.683</v>
      </c>
      <c r="I507" s="68">
        <f>13.6878 * CHOOSE(CONTROL!$C$22, $C$13, 100%, $E$13)</f>
        <v>13.687799999999999</v>
      </c>
      <c r="J507" s="68">
        <f>8.9532 * CHOOSE(CONTROL!$C$22, $C$13, 100%, $E$13)</f>
        <v>8.9532000000000007</v>
      </c>
      <c r="K507" s="68">
        <f>8.958 * CHOOSE(CONTROL!$C$22, $C$13, 100%, $E$13)</f>
        <v>8.9580000000000002</v>
      </c>
    </row>
    <row r="508" spans="1:11" ht="15">
      <c r="A508" s="13">
        <v>56584</v>
      </c>
      <c r="B508" s="67">
        <f>7.5411 * CHOOSE(CONTROL!$C$22, $C$13, 100%, $E$13)</f>
        <v>7.5411000000000001</v>
      </c>
      <c r="C508" s="67">
        <f>7.5411 * CHOOSE(CONTROL!$C$22, $C$13, 100%, $E$13)</f>
        <v>7.5411000000000001</v>
      </c>
      <c r="D508" s="67">
        <f>7.545 * CHOOSE(CONTROL!$C$22, $C$13, 100%, $E$13)</f>
        <v>7.5449999999999999</v>
      </c>
      <c r="E508" s="68">
        <f>8.8765 * CHOOSE(CONTROL!$C$22, $C$13, 100%, $E$13)</f>
        <v>8.8765000000000001</v>
      </c>
      <c r="F508" s="68">
        <f>8.8765 * CHOOSE(CONTROL!$C$22, $C$13, 100%, $E$13)</f>
        <v>8.8765000000000001</v>
      </c>
      <c r="G508" s="68">
        <f>8.8813 * CHOOSE(CONTROL!$C$22, $C$13, 100%, $E$13)</f>
        <v>8.8812999999999995</v>
      </c>
      <c r="H508" s="68">
        <f>13.7115* CHOOSE(CONTROL!$C$22, $C$13, 100%, $E$13)</f>
        <v>13.711499999999999</v>
      </c>
      <c r="I508" s="68">
        <f>13.7163 * CHOOSE(CONTROL!$C$22, $C$13, 100%, $E$13)</f>
        <v>13.7163</v>
      </c>
      <c r="J508" s="68">
        <f>8.8765 * CHOOSE(CONTROL!$C$22, $C$13, 100%, $E$13)</f>
        <v>8.8765000000000001</v>
      </c>
      <c r="K508" s="68">
        <f>8.8813 * CHOOSE(CONTROL!$C$22, $C$13, 100%, $E$13)</f>
        <v>8.8812999999999995</v>
      </c>
    </row>
    <row r="509" spans="1:11" ht="15">
      <c r="A509" s="13">
        <v>56615</v>
      </c>
      <c r="B509" s="67">
        <f>7.606 * CHOOSE(CONTROL!$C$22, $C$13, 100%, $E$13)</f>
        <v>7.6059999999999999</v>
      </c>
      <c r="C509" s="67">
        <f>7.606 * CHOOSE(CONTROL!$C$22, $C$13, 100%, $E$13)</f>
        <v>7.6059999999999999</v>
      </c>
      <c r="D509" s="67">
        <f>7.6099 * CHOOSE(CONTROL!$C$22, $C$13, 100%, $E$13)</f>
        <v>7.6098999999999997</v>
      </c>
      <c r="E509" s="68">
        <f>9.004 * CHOOSE(CONTROL!$C$22, $C$13, 100%, $E$13)</f>
        <v>9.0039999999999996</v>
      </c>
      <c r="F509" s="68">
        <f>9.004 * CHOOSE(CONTROL!$C$22, $C$13, 100%, $E$13)</f>
        <v>9.0039999999999996</v>
      </c>
      <c r="G509" s="68">
        <f>9.0088 * CHOOSE(CONTROL!$C$22, $C$13, 100%, $E$13)</f>
        <v>9.0088000000000008</v>
      </c>
      <c r="H509" s="68">
        <f>13.7401* CHOOSE(CONTROL!$C$22, $C$13, 100%, $E$13)</f>
        <v>13.7401</v>
      </c>
      <c r="I509" s="68">
        <f>13.7448 * CHOOSE(CONTROL!$C$22, $C$13, 100%, $E$13)</f>
        <v>13.7448</v>
      </c>
      <c r="J509" s="68">
        <f>9.004 * CHOOSE(CONTROL!$C$22, $C$13, 100%, $E$13)</f>
        <v>9.0039999999999996</v>
      </c>
      <c r="K509" s="68">
        <f>9.0088 * CHOOSE(CONTROL!$C$22, $C$13, 100%, $E$13)</f>
        <v>9.0088000000000008</v>
      </c>
    </row>
    <row r="510" spans="1:11" ht="15">
      <c r="A510" s="13">
        <v>56646</v>
      </c>
      <c r="B510" s="67">
        <f>7.603 * CHOOSE(CONTROL!$C$22, $C$13, 100%, $E$13)</f>
        <v>7.6029999999999998</v>
      </c>
      <c r="C510" s="67">
        <f>7.603 * CHOOSE(CONTROL!$C$22, $C$13, 100%, $E$13)</f>
        <v>7.6029999999999998</v>
      </c>
      <c r="D510" s="67">
        <f>7.6069 * CHOOSE(CONTROL!$C$22, $C$13, 100%, $E$13)</f>
        <v>7.6069000000000004</v>
      </c>
      <c r="E510" s="68">
        <f>8.8528 * CHOOSE(CONTROL!$C$22, $C$13, 100%, $E$13)</f>
        <v>8.8528000000000002</v>
      </c>
      <c r="F510" s="68">
        <f>8.8528 * CHOOSE(CONTROL!$C$22, $C$13, 100%, $E$13)</f>
        <v>8.8528000000000002</v>
      </c>
      <c r="G510" s="68">
        <f>8.8576 * CHOOSE(CONTROL!$C$22, $C$13, 100%, $E$13)</f>
        <v>8.8575999999999997</v>
      </c>
      <c r="H510" s="68">
        <f>13.7687* CHOOSE(CONTROL!$C$22, $C$13, 100%, $E$13)</f>
        <v>13.768700000000001</v>
      </c>
      <c r="I510" s="68">
        <f>13.7735 * CHOOSE(CONTROL!$C$22, $C$13, 100%, $E$13)</f>
        <v>13.7735</v>
      </c>
      <c r="J510" s="68">
        <f>8.8528 * CHOOSE(CONTROL!$C$22, $C$13, 100%, $E$13)</f>
        <v>8.8528000000000002</v>
      </c>
      <c r="K510" s="68">
        <f>8.8576 * CHOOSE(CONTROL!$C$22, $C$13, 100%, $E$13)</f>
        <v>8.8575999999999997</v>
      </c>
    </row>
    <row r="511" spans="1:11" ht="15">
      <c r="A511" s="13">
        <v>56674</v>
      </c>
      <c r="B511" s="67">
        <f>7.6 * CHOOSE(CONTROL!$C$22, $C$13, 100%, $E$13)</f>
        <v>7.6</v>
      </c>
      <c r="C511" s="67">
        <f>7.6 * CHOOSE(CONTROL!$C$22, $C$13, 100%, $E$13)</f>
        <v>7.6</v>
      </c>
      <c r="D511" s="67">
        <f>7.6038 * CHOOSE(CONTROL!$C$22, $C$13, 100%, $E$13)</f>
        <v>7.6037999999999997</v>
      </c>
      <c r="E511" s="68">
        <f>8.9682 * CHOOSE(CONTROL!$C$22, $C$13, 100%, $E$13)</f>
        <v>8.9681999999999995</v>
      </c>
      <c r="F511" s="68">
        <f>8.9682 * CHOOSE(CONTROL!$C$22, $C$13, 100%, $E$13)</f>
        <v>8.9681999999999995</v>
      </c>
      <c r="G511" s="68">
        <f>8.973 * CHOOSE(CONTROL!$C$22, $C$13, 100%, $E$13)</f>
        <v>8.9730000000000008</v>
      </c>
      <c r="H511" s="68">
        <f>13.7974* CHOOSE(CONTROL!$C$22, $C$13, 100%, $E$13)</f>
        <v>13.7974</v>
      </c>
      <c r="I511" s="68">
        <f>13.8021 * CHOOSE(CONTROL!$C$22, $C$13, 100%, $E$13)</f>
        <v>13.802099999999999</v>
      </c>
      <c r="J511" s="68">
        <f>8.9682 * CHOOSE(CONTROL!$C$22, $C$13, 100%, $E$13)</f>
        <v>8.9681999999999995</v>
      </c>
      <c r="K511" s="68">
        <f>8.973 * CHOOSE(CONTROL!$C$22, $C$13, 100%, $E$13)</f>
        <v>8.9730000000000008</v>
      </c>
    </row>
    <row r="512" spans="1:11" ht="15">
      <c r="A512" s="13">
        <v>56705</v>
      </c>
      <c r="B512" s="67">
        <f>7.6007 * CHOOSE(CONTROL!$C$22, $C$13, 100%, $E$13)</f>
        <v>7.6006999999999998</v>
      </c>
      <c r="C512" s="67">
        <f>7.6007 * CHOOSE(CONTROL!$C$22, $C$13, 100%, $E$13)</f>
        <v>7.6006999999999998</v>
      </c>
      <c r="D512" s="67">
        <f>7.6045 * CHOOSE(CONTROL!$C$22, $C$13, 100%, $E$13)</f>
        <v>7.6044999999999998</v>
      </c>
      <c r="E512" s="68">
        <f>9.0901 * CHOOSE(CONTROL!$C$22, $C$13, 100%, $E$13)</f>
        <v>9.0900999999999996</v>
      </c>
      <c r="F512" s="68">
        <f>9.0901 * CHOOSE(CONTROL!$C$22, $C$13, 100%, $E$13)</f>
        <v>9.0900999999999996</v>
      </c>
      <c r="G512" s="68">
        <f>9.0949 * CHOOSE(CONTROL!$C$22, $C$13, 100%, $E$13)</f>
        <v>9.0949000000000009</v>
      </c>
      <c r="H512" s="68">
        <f>13.8261* CHOOSE(CONTROL!$C$22, $C$13, 100%, $E$13)</f>
        <v>13.8261</v>
      </c>
      <c r="I512" s="68">
        <f>13.8309 * CHOOSE(CONTROL!$C$22, $C$13, 100%, $E$13)</f>
        <v>13.8309</v>
      </c>
      <c r="J512" s="68">
        <f>9.0901 * CHOOSE(CONTROL!$C$22, $C$13, 100%, $E$13)</f>
        <v>9.0900999999999996</v>
      </c>
      <c r="K512" s="68">
        <f>9.0949 * CHOOSE(CONTROL!$C$22, $C$13, 100%, $E$13)</f>
        <v>9.0949000000000009</v>
      </c>
    </row>
    <row r="513" spans="1:11" ht="15">
      <c r="A513" s="13">
        <v>56735</v>
      </c>
      <c r="B513" s="67">
        <f>7.6007 * CHOOSE(CONTROL!$C$22, $C$13, 100%, $E$13)</f>
        <v>7.6006999999999998</v>
      </c>
      <c r="C513" s="67">
        <f>7.6007 * CHOOSE(CONTROL!$C$22, $C$13, 100%, $E$13)</f>
        <v>7.6006999999999998</v>
      </c>
      <c r="D513" s="67">
        <f>7.6062 * CHOOSE(CONTROL!$C$22, $C$13, 100%, $E$13)</f>
        <v>7.6062000000000003</v>
      </c>
      <c r="E513" s="68">
        <f>9.1375 * CHOOSE(CONTROL!$C$22, $C$13, 100%, $E$13)</f>
        <v>9.1374999999999993</v>
      </c>
      <c r="F513" s="68">
        <f>9.1375 * CHOOSE(CONTROL!$C$22, $C$13, 100%, $E$13)</f>
        <v>9.1374999999999993</v>
      </c>
      <c r="G513" s="68">
        <f>9.1442 * CHOOSE(CONTROL!$C$22, $C$13, 100%, $E$13)</f>
        <v>9.1441999999999997</v>
      </c>
      <c r="H513" s="68">
        <f>13.8549* CHOOSE(CONTROL!$C$22, $C$13, 100%, $E$13)</f>
        <v>13.854900000000001</v>
      </c>
      <c r="I513" s="68">
        <f>13.8617 * CHOOSE(CONTROL!$C$22, $C$13, 100%, $E$13)</f>
        <v>13.861700000000001</v>
      </c>
      <c r="J513" s="68">
        <f>9.1375 * CHOOSE(CONTROL!$C$22, $C$13, 100%, $E$13)</f>
        <v>9.1374999999999993</v>
      </c>
      <c r="K513" s="68">
        <f>9.1442 * CHOOSE(CONTROL!$C$22, $C$13, 100%, $E$13)</f>
        <v>9.1441999999999997</v>
      </c>
    </row>
    <row r="514" spans="1:11" ht="15">
      <c r="A514" s="13">
        <v>56766</v>
      </c>
      <c r="B514" s="67">
        <f>7.6068 * CHOOSE(CONTROL!$C$22, $C$13, 100%, $E$13)</f>
        <v>7.6067999999999998</v>
      </c>
      <c r="C514" s="67">
        <f>7.6068 * CHOOSE(CONTROL!$C$22, $C$13, 100%, $E$13)</f>
        <v>7.6067999999999998</v>
      </c>
      <c r="D514" s="67">
        <f>7.6123 * CHOOSE(CONTROL!$C$22, $C$13, 100%, $E$13)</f>
        <v>7.6123000000000003</v>
      </c>
      <c r="E514" s="68">
        <f>9.0944 * CHOOSE(CONTROL!$C$22, $C$13, 100%, $E$13)</f>
        <v>9.0944000000000003</v>
      </c>
      <c r="F514" s="68">
        <f>9.0944 * CHOOSE(CONTROL!$C$22, $C$13, 100%, $E$13)</f>
        <v>9.0944000000000003</v>
      </c>
      <c r="G514" s="68">
        <f>9.1011 * CHOOSE(CONTROL!$C$22, $C$13, 100%, $E$13)</f>
        <v>9.1011000000000006</v>
      </c>
      <c r="H514" s="68">
        <f>13.8838* CHOOSE(CONTROL!$C$22, $C$13, 100%, $E$13)</f>
        <v>13.883800000000001</v>
      </c>
      <c r="I514" s="68">
        <f>13.8905 * CHOOSE(CONTROL!$C$22, $C$13, 100%, $E$13)</f>
        <v>13.890499999999999</v>
      </c>
      <c r="J514" s="68">
        <f>9.0944 * CHOOSE(CONTROL!$C$22, $C$13, 100%, $E$13)</f>
        <v>9.0944000000000003</v>
      </c>
      <c r="K514" s="68">
        <f>9.1011 * CHOOSE(CONTROL!$C$22, $C$13, 100%, $E$13)</f>
        <v>9.1011000000000006</v>
      </c>
    </row>
    <row r="515" spans="1:11" ht="15">
      <c r="A515" s="13">
        <v>56796</v>
      </c>
      <c r="B515" s="67">
        <f>7.7266 * CHOOSE(CONTROL!$C$22, $C$13, 100%, $E$13)</f>
        <v>7.7266000000000004</v>
      </c>
      <c r="C515" s="67">
        <f>7.7266 * CHOOSE(CONTROL!$C$22, $C$13, 100%, $E$13)</f>
        <v>7.7266000000000004</v>
      </c>
      <c r="D515" s="67">
        <f>7.7321 * CHOOSE(CONTROL!$C$22, $C$13, 100%, $E$13)</f>
        <v>7.7321</v>
      </c>
      <c r="E515" s="68">
        <f>9.2441 * CHOOSE(CONTROL!$C$22, $C$13, 100%, $E$13)</f>
        <v>9.2440999999999995</v>
      </c>
      <c r="F515" s="68">
        <f>9.2441 * CHOOSE(CONTROL!$C$22, $C$13, 100%, $E$13)</f>
        <v>9.2440999999999995</v>
      </c>
      <c r="G515" s="68">
        <f>9.2509 * CHOOSE(CONTROL!$C$22, $C$13, 100%, $E$13)</f>
        <v>9.2508999999999997</v>
      </c>
      <c r="H515" s="68">
        <f>13.9127* CHOOSE(CONTROL!$C$22, $C$13, 100%, $E$13)</f>
        <v>13.912699999999999</v>
      </c>
      <c r="I515" s="68">
        <f>13.9194 * CHOOSE(CONTROL!$C$22, $C$13, 100%, $E$13)</f>
        <v>13.9194</v>
      </c>
      <c r="J515" s="68">
        <f>9.2441 * CHOOSE(CONTROL!$C$22, $C$13, 100%, $E$13)</f>
        <v>9.2440999999999995</v>
      </c>
      <c r="K515" s="68">
        <f>9.2509 * CHOOSE(CONTROL!$C$22, $C$13, 100%, $E$13)</f>
        <v>9.2508999999999997</v>
      </c>
    </row>
    <row r="516" spans="1:11" ht="15">
      <c r="A516" s="13">
        <v>56827</v>
      </c>
      <c r="B516" s="67">
        <f>7.7333 * CHOOSE(CONTROL!$C$22, $C$13, 100%, $E$13)</f>
        <v>7.7332999999999998</v>
      </c>
      <c r="C516" s="67">
        <f>7.7333 * CHOOSE(CONTROL!$C$22, $C$13, 100%, $E$13)</f>
        <v>7.7332999999999998</v>
      </c>
      <c r="D516" s="67">
        <f>7.7388 * CHOOSE(CONTROL!$C$22, $C$13, 100%, $E$13)</f>
        <v>7.7388000000000003</v>
      </c>
      <c r="E516" s="68">
        <f>9.1068 * CHOOSE(CONTROL!$C$22, $C$13, 100%, $E$13)</f>
        <v>9.1067999999999998</v>
      </c>
      <c r="F516" s="68">
        <f>9.1068 * CHOOSE(CONTROL!$C$22, $C$13, 100%, $E$13)</f>
        <v>9.1067999999999998</v>
      </c>
      <c r="G516" s="68">
        <f>9.1136 * CHOOSE(CONTROL!$C$22, $C$13, 100%, $E$13)</f>
        <v>9.1135999999999999</v>
      </c>
      <c r="H516" s="68">
        <f>13.9417* CHOOSE(CONTROL!$C$22, $C$13, 100%, $E$13)</f>
        <v>13.941700000000001</v>
      </c>
      <c r="I516" s="68">
        <f>13.9484 * CHOOSE(CONTROL!$C$22, $C$13, 100%, $E$13)</f>
        <v>13.948399999999999</v>
      </c>
      <c r="J516" s="68">
        <f>9.1068 * CHOOSE(CONTROL!$C$22, $C$13, 100%, $E$13)</f>
        <v>9.1067999999999998</v>
      </c>
      <c r="K516" s="68">
        <f>9.1136 * CHOOSE(CONTROL!$C$22, $C$13, 100%, $E$13)</f>
        <v>9.1135999999999999</v>
      </c>
    </row>
    <row r="517" spans="1:11" ht="15">
      <c r="A517" s="13">
        <v>56858</v>
      </c>
      <c r="B517" s="67">
        <f>7.7303 * CHOOSE(CONTROL!$C$22, $C$13, 100%, $E$13)</f>
        <v>7.7302999999999997</v>
      </c>
      <c r="C517" s="67">
        <f>7.7303 * CHOOSE(CONTROL!$C$22, $C$13, 100%, $E$13)</f>
        <v>7.7302999999999997</v>
      </c>
      <c r="D517" s="67">
        <f>7.7358 * CHOOSE(CONTROL!$C$22, $C$13, 100%, $E$13)</f>
        <v>7.7358000000000002</v>
      </c>
      <c r="E517" s="68">
        <f>9.089 * CHOOSE(CONTROL!$C$22, $C$13, 100%, $E$13)</f>
        <v>9.0890000000000004</v>
      </c>
      <c r="F517" s="68">
        <f>9.089 * CHOOSE(CONTROL!$C$22, $C$13, 100%, $E$13)</f>
        <v>9.0890000000000004</v>
      </c>
      <c r="G517" s="68">
        <f>9.0957 * CHOOSE(CONTROL!$C$22, $C$13, 100%, $E$13)</f>
        <v>9.0957000000000008</v>
      </c>
      <c r="H517" s="68">
        <f>13.9707* CHOOSE(CONTROL!$C$22, $C$13, 100%, $E$13)</f>
        <v>13.970700000000001</v>
      </c>
      <c r="I517" s="68">
        <f>13.9775 * CHOOSE(CONTROL!$C$22, $C$13, 100%, $E$13)</f>
        <v>13.977499999999999</v>
      </c>
      <c r="J517" s="68">
        <f>9.089 * CHOOSE(CONTROL!$C$22, $C$13, 100%, $E$13)</f>
        <v>9.0890000000000004</v>
      </c>
      <c r="K517" s="68">
        <f>9.0957 * CHOOSE(CONTROL!$C$22, $C$13, 100%, $E$13)</f>
        <v>9.0957000000000008</v>
      </c>
    </row>
    <row r="518" spans="1:11" ht="15">
      <c r="A518" s="13">
        <v>56888</v>
      </c>
      <c r="B518" s="67">
        <f>7.7376 * CHOOSE(CONTROL!$C$22, $C$13, 100%, $E$13)</f>
        <v>7.7375999999999996</v>
      </c>
      <c r="C518" s="67">
        <f>7.7376 * CHOOSE(CONTROL!$C$22, $C$13, 100%, $E$13)</f>
        <v>7.7375999999999996</v>
      </c>
      <c r="D518" s="67">
        <f>7.7414 * CHOOSE(CONTROL!$C$22, $C$13, 100%, $E$13)</f>
        <v>7.7413999999999996</v>
      </c>
      <c r="E518" s="68">
        <f>9.1386 * CHOOSE(CONTROL!$C$22, $C$13, 100%, $E$13)</f>
        <v>9.1386000000000003</v>
      </c>
      <c r="F518" s="68">
        <f>9.1386 * CHOOSE(CONTROL!$C$22, $C$13, 100%, $E$13)</f>
        <v>9.1386000000000003</v>
      </c>
      <c r="G518" s="68">
        <f>9.1434 * CHOOSE(CONTROL!$C$22, $C$13, 100%, $E$13)</f>
        <v>9.1433999999999997</v>
      </c>
      <c r="H518" s="68">
        <f>13.9998* CHOOSE(CONTROL!$C$22, $C$13, 100%, $E$13)</f>
        <v>13.9998</v>
      </c>
      <c r="I518" s="68">
        <f>14.0046 * CHOOSE(CONTROL!$C$22, $C$13, 100%, $E$13)</f>
        <v>14.0046</v>
      </c>
      <c r="J518" s="68">
        <f>9.1386 * CHOOSE(CONTROL!$C$22, $C$13, 100%, $E$13)</f>
        <v>9.1386000000000003</v>
      </c>
      <c r="K518" s="68">
        <f>9.1434 * CHOOSE(CONTROL!$C$22, $C$13, 100%, $E$13)</f>
        <v>9.1433999999999997</v>
      </c>
    </row>
    <row r="519" spans="1:11" ht="15">
      <c r="A519" s="13">
        <v>56919</v>
      </c>
      <c r="B519" s="67">
        <f>7.7406 * CHOOSE(CONTROL!$C$22, $C$13, 100%, $E$13)</f>
        <v>7.7405999999999997</v>
      </c>
      <c r="C519" s="67">
        <f>7.7406 * CHOOSE(CONTROL!$C$22, $C$13, 100%, $E$13)</f>
        <v>7.7405999999999997</v>
      </c>
      <c r="D519" s="67">
        <f>7.7445 * CHOOSE(CONTROL!$C$22, $C$13, 100%, $E$13)</f>
        <v>7.7445000000000004</v>
      </c>
      <c r="E519" s="68">
        <f>9.1723 * CHOOSE(CONTROL!$C$22, $C$13, 100%, $E$13)</f>
        <v>9.1722999999999999</v>
      </c>
      <c r="F519" s="68">
        <f>9.1723 * CHOOSE(CONTROL!$C$22, $C$13, 100%, $E$13)</f>
        <v>9.1722999999999999</v>
      </c>
      <c r="G519" s="68">
        <f>9.1771 * CHOOSE(CONTROL!$C$22, $C$13, 100%, $E$13)</f>
        <v>9.1770999999999994</v>
      </c>
      <c r="H519" s="68">
        <f>14.029* CHOOSE(CONTROL!$C$22, $C$13, 100%, $E$13)</f>
        <v>14.029</v>
      </c>
      <c r="I519" s="68">
        <f>14.0338 * CHOOSE(CONTROL!$C$22, $C$13, 100%, $E$13)</f>
        <v>14.033799999999999</v>
      </c>
      <c r="J519" s="68">
        <f>9.1723 * CHOOSE(CONTROL!$C$22, $C$13, 100%, $E$13)</f>
        <v>9.1722999999999999</v>
      </c>
      <c r="K519" s="68">
        <f>9.1771 * CHOOSE(CONTROL!$C$22, $C$13, 100%, $E$13)</f>
        <v>9.1770999999999994</v>
      </c>
    </row>
    <row r="520" spans="1:11" ht="15">
      <c r="A520" s="13">
        <v>56949</v>
      </c>
      <c r="B520" s="67">
        <f>7.7406 * CHOOSE(CONTROL!$C$22, $C$13, 100%, $E$13)</f>
        <v>7.7405999999999997</v>
      </c>
      <c r="C520" s="67">
        <f>7.7406 * CHOOSE(CONTROL!$C$22, $C$13, 100%, $E$13)</f>
        <v>7.7405999999999997</v>
      </c>
      <c r="D520" s="67">
        <f>7.7445 * CHOOSE(CONTROL!$C$22, $C$13, 100%, $E$13)</f>
        <v>7.7445000000000004</v>
      </c>
      <c r="E520" s="68">
        <f>9.0934 * CHOOSE(CONTROL!$C$22, $C$13, 100%, $E$13)</f>
        <v>9.0934000000000008</v>
      </c>
      <c r="F520" s="68">
        <f>9.0934 * CHOOSE(CONTROL!$C$22, $C$13, 100%, $E$13)</f>
        <v>9.0934000000000008</v>
      </c>
      <c r="G520" s="68">
        <f>9.0982 * CHOOSE(CONTROL!$C$22, $C$13, 100%, $E$13)</f>
        <v>9.0982000000000003</v>
      </c>
      <c r="H520" s="68">
        <f>14.0582* CHOOSE(CONTROL!$C$22, $C$13, 100%, $E$13)</f>
        <v>14.058199999999999</v>
      </c>
      <c r="I520" s="68">
        <f>14.063 * CHOOSE(CONTROL!$C$22, $C$13, 100%, $E$13)</f>
        <v>14.063000000000001</v>
      </c>
      <c r="J520" s="68">
        <f>9.0934 * CHOOSE(CONTROL!$C$22, $C$13, 100%, $E$13)</f>
        <v>9.0934000000000008</v>
      </c>
      <c r="K520" s="68">
        <f>9.0982 * CHOOSE(CONTROL!$C$22, $C$13, 100%, $E$13)</f>
        <v>9.0982000000000003</v>
      </c>
    </row>
    <row r="521" spans="1:11" ht="15">
      <c r="A521" s="13">
        <v>56980</v>
      </c>
      <c r="B521" s="67">
        <f>7.8071 * CHOOSE(CONTROL!$C$22, $C$13, 100%, $E$13)</f>
        <v>7.8071000000000002</v>
      </c>
      <c r="C521" s="67">
        <f>7.8071 * CHOOSE(CONTROL!$C$22, $C$13, 100%, $E$13)</f>
        <v>7.8071000000000002</v>
      </c>
      <c r="D521" s="67">
        <f>7.811 * CHOOSE(CONTROL!$C$22, $C$13, 100%, $E$13)</f>
        <v>7.8109999999999999</v>
      </c>
      <c r="E521" s="68">
        <f>9.2242 * CHOOSE(CONTROL!$C$22, $C$13, 100%, $E$13)</f>
        <v>9.2241999999999997</v>
      </c>
      <c r="F521" s="68">
        <f>9.2242 * CHOOSE(CONTROL!$C$22, $C$13, 100%, $E$13)</f>
        <v>9.2241999999999997</v>
      </c>
      <c r="G521" s="68">
        <f>9.229 * CHOOSE(CONTROL!$C$22, $C$13, 100%, $E$13)</f>
        <v>9.2289999999999992</v>
      </c>
      <c r="H521" s="68">
        <f>14.0875* CHOOSE(CONTROL!$C$22, $C$13, 100%, $E$13)</f>
        <v>14.0875</v>
      </c>
      <c r="I521" s="68">
        <f>14.0923 * CHOOSE(CONTROL!$C$22, $C$13, 100%, $E$13)</f>
        <v>14.0923</v>
      </c>
      <c r="J521" s="68">
        <f>9.2242 * CHOOSE(CONTROL!$C$22, $C$13, 100%, $E$13)</f>
        <v>9.2241999999999997</v>
      </c>
      <c r="K521" s="68">
        <f>9.229 * CHOOSE(CONTROL!$C$22, $C$13, 100%, $E$13)</f>
        <v>9.2289999999999992</v>
      </c>
    </row>
    <row r="522" spans="1:11" ht="15">
      <c r="A522" s="13">
        <v>57011</v>
      </c>
      <c r="B522" s="67">
        <f>7.8041 * CHOOSE(CONTROL!$C$22, $C$13, 100%, $E$13)</f>
        <v>7.8041</v>
      </c>
      <c r="C522" s="67">
        <f>7.8041 * CHOOSE(CONTROL!$C$22, $C$13, 100%, $E$13)</f>
        <v>7.8041</v>
      </c>
      <c r="D522" s="67">
        <f>7.808 * CHOOSE(CONTROL!$C$22, $C$13, 100%, $E$13)</f>
        <v>7.8079999999999998</v>
      </c>
      <c r="E522" s="68">
        <f>9.0688 * CHOOSE(CONTROL!$C$22, $C$13, 100%, $E$13)</f>
        <v>9.0687999999999995</v>
      </c>
      <c r="F522" s="68">
        <f>9.0688 * CHOOSE(CONTROL!$C$22, $C$13, 100%, $E$13)</f>
        <v>9.0687999999999995</v>
      </c>
      <c r="G522" s="68">
        <f>9.0736 * CHOOSE(CONTROL!$C$22, $C$13, 100%, $E$13)</f>
        <v>9.0736000000000008</v>
      </c>
      <c r="H522" s="68">
        <f>14.1169* CHOOSE(CONTROL!$C$22, $C$13, 100%, $E$13)</f>
        <v>14.116899999999999</v>
      </c>
      <c r="I522" s="68">
        <f>14.1216 * CHOOSE(CONTROL!$C$22, $C$13, 100%, $E$13)</f>
        <v>14.121600000000001</v>
      </c>
      <c r="J522" s="68">
        <f>9.0688 * CHOOSE(CONTROL!$C$22, $C$13, 100%, $E$13)</f>
        <v>9.0687999999999995</v>
      </c>
      <c r="K522" s="68">
        <f>9.0736 * CHOOSE(CONTROL!$C$22, $C$13, 100%, $E$13)</f>
        <v>9.0736000000000008</v>
      </c>
    </row>
    <row r="523" spans="1:11" ht="15">
      <c r="A523" s="13">
        <v>57040</v>
      </c>
      <c r="B523" s="67">
        <f>7.8011 * CHOOSE(CONTROL!$C$22, $C$13, 100%, $E$13)</f>
        <v>7.8010999999999999</v>
      </c>
      <c r="C523" s="67">
        <f>7.8011 * CHOOSE(CONTROL!$C$22, $C$13, 100%, $E$13)</f>
        <v>7.8010999999999999</v>
      </c>
      <c r="D523" s="67">
        <f>7.8049 * CHOOSE(CONTROL!$C$22, $C$13, 100%, $E$13)</f>
        <v>7.8048999999999999</v>
      </c>
      <c r="E523" s="68">
        <f>9.1875 * CHOOSE(CONTROL!$C$22, $C$13, 100%, $E$13)</f>
        <v>9.1875</v>
      </c>
      <c r="F523" s="68">
        <f>9.1875 * CHOOSE(CONTROL!$C$22, $C$13, 100%, $E$13)</f>
        <v>9.1875</v>
      </c>
      <c r="G523" s="68">
        <f>9.1923 * CHOOSE(CONTROL!$C$22, $C$13, 100%, $E$13)</f>
        <v>9.1922999999999995</v>
      </c>
      <c r="H523" s="68">
        <f>14.1463* CHOOSE(CONTROL!$C$22, $C$13, 100%, $E$13)</f>
        <v>14.1463</v>
      </c>
      <c r="I523" s="68">
        <f>14.1511 * CHOOSE(CONTROL!$C$22, $C$13, 100%, $E$13)</f>
        <v>14.1511</v>
      </c>
      <c r="J523" s="68">
        <f>9.1875 * CHOOSE(CONTROL!$C$22, $C$13, 100%, $E$13)</f>
        <v>9.1875</v>
      </c>
      <c r="K523" s="68">
        <f>9.1923 * CHOOSE(CONTROL!$C$22, $C$13, 100%, $E$13)</f>
        <v>9.1922999999999995</v>
      </c>
    </row>
    <row r="524" spans="1:11" ht="15">
      <c r="A524" s="13">
        <v>57071</v>
      </c>
      <c r="B524" s="67">
        <f>7.802 * CHOOSE(CONTROL!$C$22, $C$13, 100%, $E$13)</f>
        <v>7.8019999999999996</v>
      </c>
      <c r="C524" s="67">
        <f>7.802 * CHOOSE(CONTROL!$C$22, $C$13, 100%, $E$13)</f>
        <v>7.8019999999999996</v>
      </c>
      <c r="D524" s="67">
        <f>7.8058 * CHOOSE(CONTROL!$C$22, $C$13, 100%, $E$13)</f>
        <v>7.8057999999999996</v>
      </c>
      <c r="E524" s="68">
        <f>9.313 * CHOOSE(CONTROL!$C$22, $C$13, 100%, $E$13)</f>
        <v>9.3130000000000006</v>
      </c>
      <c r="F524" s="68">
        <f>9.313 * CHOOSE(CONTROL!$C$22, $C$13, 100%, $E$13)</f>
        <v>9.3130000000000006</v>
      </c>
      <c r="G524" s="68">
        <f>9.3178 * CHOOSE(CONTROL!$C$22, $C$13, 100%, $E$13)</f>
        <v>9.3178000000000001</v>
      </c>
      <c r="H524" s="68">
        <f>14.1758* CHOOSE(CONTROL!$C$22, $C$13, 100%, $E$13)</f>
        <v>14.175800000000001</v>
      </c>
      <c r="I524" s="68">
        <f>14.1805 * CHOOSE(CONTROL!$C$22, $C$13, 100%, $E$13)</f>
        <v>14.1805</v>
      </c>
      <c r="J524" s="68">
        <f>9.313 * CHOOSE(CONTROL!$C$22, $C$13, 100%, $E$13)</f>
        <v>9.3130000000000006</v>
      </c>
      <c r="K524" s="68">
        <f>9.3178 * CHOOSE(CONTROL!$C$22, $C$13, 100%, $E$13)</f>
        <v>9.3178000000000001</v>
      </c>
    </row>
    <row r="525" spans="1:11" ht="15">
      <c r="A525" s="13">
        <v>57101</v>
      </c>
      <c r="B525" s="67">
        <f>7.802 * CHOOSE(CONTROL!$C$22, $C$13, 100%, $E$13)</f>
        <v>7.8019999999999996</v>
      </c>
      <c r="C525" s="67">
        <f>7.802 * CHOOSE(CONTROL!$C$22, $C$13, 100%, $E$13)</f>
        <v>7.8019999999999996</v>
      </c>
      <c r="D525" s="67">
        <f>7.8075 * CHOOSE(CONTROL!$C$22, $C$13, 100%, $E$13)</f>
        <v>7.8075000000000001</v>
      </c>
      <c r="E525" s="68">
        <f>9.3616 * CHOOSE(CONTROL!$C$22, $C$13, 100%, $E$13)</f>
        <v>9.3615999999999993</v>
      </c>
      <c r="F525" s="68">
        <f>9.3616 * CHOOSE(CONTROL!$C$22, $C$13, 100%, $E$13)</f>
        <v>9.3615999999999993</v>
      </c>
      <c r="G525" s="68">
        <f>9.3684 * CHOOSE(CONTROL!$C$22, $C$13, 100%, $E$13)</f>
        <v>9.3683999999999994</v>
      </c>
      <c r="H525" s="68">
        <f>14.2053* CHOOSE(CONTROL!$C$22, $C$13, 100%, $E$13)</f>
        <v>14.205299999999999</v>
      </c>
      <c r="I525" s="68">
        <f>14.212 * CHOOSE(CONTROL!$C$22, $C$13, 100%, $E$13)</f>
        <v>14.212</v>
      </c>
      <c r="J525" s="68">
        <f>9.3616 * CHOOSE(CONTROL!$C$22, $C$13, 100%, $E$13)</f>
        <v>9.3615999999999993</v>
      </c>
      <c r="K525" s="68">
        <f>9.3684 * CHOOSE(CONTROL!$C$22, $C$13, 100%, $E$13)</f>
        <v>9.3683999999999994</v>
      </c>
    </row>
    <row r="526" spans="1:11" ht="15">
      <c r="A526" s="13">
        <v>57132</v>
      </c>
      <c r="B526" s="67">
        <f>7.808 * CHOOSE(CONTROL!$C$22, $C$13, 100%, $E$13)</f>
        <v>7.8079999999999998</v>
      </c>
      <c r="C526" s="67">
        <f>7.808 * CHOOSE(CONTROL!$C$22, $C$13, 100%, $E$13)</f>
        <v>7.8079999999999998</v>
      </c>
      <c r="D526" s="67">
        <f>7.8135 * CHOOSE(CONTROL!$C$22, $C$13, 100%, $E$13)</f>
        <v>7.8135000000000003</v>
      </c>
      <c r="E526" s="68">
        <f>9.3172 * CHOOSE(CONTROL!$C$22, $C$13, 100%, $E$13)</f>
        <v>9.3171999999999997</v>
      </c>
      <c r="F526" s="68">
        <f>9.3172 * CHOOSE(CONTROL!$C$22, $C$13, 100%, $E$13)</f>
        <v>9.3171999999999997</v>
      </c>
      <c r="G526" s="68">
        <f>9.324 * CHOOSE(CONTROL!$C$22, $C$13, 100%, $E$13)</f>
        <v>9.3239999999999998</v>
      </c>
      <c r="H526" s="68">
        <f>14.2349* CHOOSE(CONTROL!$C$22, $C$13, 100%, $E$13)</f>
        <v>14.2349</v>
      </c>
      <c r="I526" s="68">
        <f>14.2416 * CHOOSE(CONTROL!$C$22, $C$13, 100%, $E$13)</f>
        <v>14.2416</v>
      </c>
      <c r="J526" s="68">
        <f>9.3172 * CHOOSE(CONTROL!$C$22, $C$13, 100%, $E$13)</f>
        <v>9.3171999999999997</v>
      </c>
      <c r="K526" s="68">
        <f>9.324 * CHOOSE(CONTROL!$C$22, $C$13, 100%, $E$13)</f>
        <v>9.3239999999999998</v>
      </c>
    </row>
    <row r="527" spans="1:11" ht="15">
      <c r="A527" s="13">
        <v>57162</v>
      </c>
      <c r="B527" s="67">
        <f>7.9308 * CHOOSE(CONTROL!$C$22, $C$13, 100%, $E$13)</f>
        <v>7.9307999999999996</v>
      </c>
      <c r="C527" s="67">
        <f>7.9308 * CHOOSE(CONTROL!$C$22, $C$13, 100%, $E$13)</f>
        <v>7.9307999999999996</v>
      </c>
      <c r="D527" s="67">
        <f>7.9363 * CHOOSE(CONTROL!$C$22, $C$13, 100%, $E$13)</f>
        <v>7.9363000000000001</v>
      </c>
      <c r="E527" s="68">
        <f>9.4704 * CHOOSE(CONTROL!$C$22, $C$13, 100%, $E$13)</f>
        <v>9.4703999999999997</v>
      </c>
      <c r="F527" s="68">
        <f>9.4704 * CHOOSE(CONTROL!$C$22, $C$13, 100%, $E$13)</f>
        <v>9.4703999999999997</v>
      </c>
      <c r="G527" s="68">
        <f>9.4771 * CHOOSE(CONTROL!$C$22, $C$13, 100%, $E$13)</f>
        <v>9.4771000000000001</v>
      </c>
      <c r="H527" s="68">
        <f>14.2645* CHOOSE(CONTROL!$C$22, $C$13, 100%, $E$13)</f>
        <v>14.2645</v>
      </c>
      <c r="I527" s="68">
        <f>14.2713 * CHOOSE(CONTROL!$C$22, $C$13, 100%, $E$13)</f>
        <v>14.2713</v>
      </c>
      <c r="J527" s="68">
        <f>9.4704 * CHOOSE(CONTROL!$C$22, $C$13, 100%, $E$13)</f>
        <v>9.4703999999999997</v>
      </c>
      <c r="K527" s="68">
        <f>9.4771 * CHOOSE(CONTROL!$C$22, $C$13, 100%, $E$13)</f>
        <v>9.4771000000000001</v>
      </c>
    </row>
    <row r="528" spans="1:11" ht="15">
      <c r="A528" s="13">
        <v>57193</v>
      </c>
      <c r="B528" s="67">
        <f>7.9375 * CHOOSE(CONTROL!$C$22, $C$13, 100%, $E$13)</f>
        <v>7.9375</v>
      </c>
      <c r="C528" s="67">
        <f>7.9375 * CHOOSE(CONTROL!$C$22, $C$13, 100%, $E$13)</f>
        <v>7.9375</v>
      </c>
      <c r="D528" s="67">
        <f>7.943 * CHOOSE(CONTROL!$C$22, $C$13, 100%, $E$13)</f>
        <v>7.9429999999999996</v>
      </c>
      <c r="E528" s="68">
        <f>9.3291 * CHOOSE(CONTROL!$C$22, $C$13, 100%, $E$13)</f>
        <v>9.3291000000000004</v>
      </c>
      <c r="F528" s="68">
        <f>9.3291 * CHOOSE(CONTROL!$C$22, $C$13, 100%, $E$13)</f>
        <v>9.3291000000000004</v>
      </c>
      <c r="G528" s="68">
        <f>9.3358 * CHOOSE(CONTROL!$C$22, $C$13, 100%, $E$13)</f>
        <v>9.3358000000000008</v>
      </c>
      <c r="H528" s="68">
        <f>14.2943* CHOOSE(CONTROL!$C$22, $C$13, 100%, $E$13)</f>
        <v>14.2943</v>
      </c>
      <c r="I528" s="68">
        <f>14.301 * CHOOSE(CONTROL!$C$22, $C$13, 100%, $E$13)</f>
        <v>14.301</v>
      </c>
      <c r="J528" s="68">
        <f>9.3291 * CHOOSE(CONTROL!$C$22, $C$13, 100%, $E$13)</f>
        <v>9.3291000000000004</v>
      </c>
      <c r="K528" s="68">
        <f>9.3358 * CHOOSE(CONTROL!$C$22, $C$13, 100%, $E$13)</f>
        <v>9.3358000000000008</v>
      </c>
    </row>
    <row r="529" spans="1:11" ht="15">
      <c r="A529" s="13">
        <v>57224</v>
      </c>
      <c r="B529" s="67">
        <f>7.9344 * CHOOSE(CONTROL!$C$22, $C$13, 100%, $E$13)</f>
        <v>7.9344000000000001</v>
      </c>
      <c r="C529" s="67">
        <f>7.9344 * CHOOSE(CONTROL!$C$22, $C$13, 100%, $E$13)</f>
        <v>7.9344000000000001</v>
      </c>
      <c r="D529" s="67">
        <f>7.9399 * CHOOSE(CONTROL!$C$22, $C$13, 100%, $E$13)</f>
        <v>7.9398999999999997</v>
      </c>
      <c r="E529" s="68">
        <f>9.3108 * CHOOSE(CONTROL!$C$22, $C$13, 100%, $E$13)</f>
        <v>9.3108000000000004</v>
      </c>
      <c r="F529" s="68">
        <f>9.3108 * CHOOSE(CONTROL!$C$22, $C$13, 100%, $E$13)</f>
        <v>9.3108000000000004</v>
      </c>
      <c r="G529" s="68">
        <f>9.3175 * CHOOSE(CONTROL!$C$22, $C$13, 100%, $E$13)</f>
        <v>9.3175000000000008</v>
      </c>
      <c r="H529" s="68">
        <f>14.324* CHOOSE(CONTROL!$C$22, $C$13, 100%, $E$13)</f>
        <v>14.324</v>
      </c>
      <c r="I529" s="68">
        <f>14.3308 * CHOOSE(CONTROL!$C$22, $C$13, 100%, $E$13)</f>
        <v>14.3308</v>
      </c>
      <c r="J529" s="68">
        <f>9.3108 * CHOOSE(CONTROL!$C$22, $C$13, 100%, $E$13)</f>
        <v>9.3108000000000004</v>
      </c>
      <c r="K529" s="68">
        <f>9.3175 * CHOOSE(CONTROL!$C$22, $C$13, 100%, $E$13)</f>
        <v>9.3175000000000008</v>
      </c>
    </row>
    <row r="530" spans="1:11" ht="15">
      <c r="A530" s="13">
        <v>57254</v>
      </c>
      <c r="B530" s="67">
        <f>7.9424 * CHOOSE(CONTROL!$C$22, $C$13, 100%, $E$13)</f>
        <v>7.9424000000000001</v>
      </c>
      <c r="C530" s="67">
        <f>7.9424 * CHOOSE(CONTROL!$C$22, $C$13, 100%, $E$13)</f>
        <v>7.9424000000000001</v>
      </c>
      <c r="D530" s="67">
        <f>7.9463 * CHOOSE(CONTROL!$C$22, $C$13, 100%, $E$13)</f>
        <v>7.9462999999999999</v>
      </c>
      <c r="E530" s="68">
        <f>9.3622 * CHOOSE(CONTROL!$C$22, $C$13, 100%, $E$13)</f>
        <v>9.3621999999999996</v>
      </c>
      <c r="F530" s="68">
        <f>9.3622 * CHOOSE(CONTROL!$C$22, $C$13, 100%, $E$13)</f>
        <v>9.3621999999999996</v>
      </c>
      <c r="G530" s="68">
        <f>9.367 * CHOOSE(CONTROL!$C$22, $C$13, 100%, $E$13)</f>
        <v>9.3670000000000009</v>
      </c>
      <c r="H530" s="68">
        <f>14.3539* CHOOSE(CONTROL!$C$22, $C$13, 100%, $E$13)</f>
        <v>14.353899999999999</v>
      </c>
      <c r="I530" s="68">
        <f>14.3587 * CHOOSE(CONTROL!$C$22, $C$13, 100%, $E$13)</f>
        <v>14.358700000000001</v>
      </c>
      <c r="J530" s="68">
        <f>9.3622 * CHOOSE(CONTROL!$C$22, $C$13, 100%, $E$13)</f>
        <v>9.3621999999999996</v>
      </c>
      <c r="K530" s="68">
        <f>9.367 * CHOOSE(CONTROL!$C$22, $C$13, 100%, $E$13)</f>
        <v>9.3670000000000009</v>
      </c>
    </row>
    <row r="531" spans="1:11" ht="15">
      <c r="A531" s="13">
        <v>57285</v>
      </c>
      <c r="B531" s="67">
        <f>7.9454 * CHOOSE(CONTROL!$C$22, $C$13, 100%, $E$13)</f>
        <v>7.9454000000000002</v>
      </c>
      <c r="C531" s="67">
        <f>7.9454 * CHOOSE(CONTROL!$C$22, $C$13, 100%, $E$13)</f>
        <v>7.9454000000000002</v>
      </c>
      <c r="D531" s="67">
        <f>7.9493 * CHOOSE(CONTROL!$C$22, $C$13, 100%, $E$13)</f>
        <v>7.9493</v>
      </c>
      <c r="E531" s="68">
        <f>9.3968 * CHOOSE(CONTROL!$C$22, $C$13, 100%, $E$13)</f>
        <v>9.3968000000000007</v>
      </c>
      <c r="F531" s="68">
        <f>9.3968 * CHOOSE(CONTROL!$C$22, $C$13, 100%, $E$13)</f>
        <v>9.3968000000000007</v>
      </c>
      <c r="G531" s="68">
        <f>9.4015 * CHOOSE(CONTROL!$C$22, $C$13, 100%, $E$13)</f>
        <v>9.4015000000000004</v>
      </c>
      <c r="H531" s="68">
        <f>14.3838* CHOOSE(CONTROL!$C$22, $C$13, 100%, $E$13)</f>
        <v>14.383800000000001</v>
      </c>
      <c r="I531" s="68">
        <f>14.3886 * CHOOSE(CONTROL!$C$22, $C$13, 100%, $E$13)</f>
        <v>14.3886</v>
      </c>
      <c r="J531" s="68">
        <f>9.3968 * CHOOSE(CONTROL!$C$22, $C$13, 100%, $E$13)</f>
        <v>9.3968000000000007</v>
      </c>
      <c r="K531" s="68">
        <f>9.4015 * CHOOSE(CONTROL!$C$22, $C$13, 100%, $E$13)</f>
        <v>9.4015000000000004</v>
      </c>
    </row>
    <row r="532" spans="1:11" ht="15">
      <c r="A532" s="13">
        <v>57315</v>
      </c>
      <c r="B532" s="67">
        <f>7.9454 * CHOOSE(CONTROL!$C$22, $C$13, 100%, $E$13)</f>
        <v>7.9454000000000002</v>
      </c>
      <c r="C532" s="67">
        <f>7.9454 * CHOOSE(CONTROL!$C$22, $C$13, 100%, $E$13)</f>
        <v>7.9454000000000002</v>
      </c>
      <c r="D532" s="67">
        <f>7.9493 * CHOOSE(CONTROL!$C$22, $C$13, 100%, $E$13)</f>
        <v>7.9493</v>
      </c>
      <c r="E532" s="68">
        <f>9.3157 * CHOOSE(CONTROL!$C$22, $C$13, 100%, $E$13)</f>
        <v>9.3156999999999996</v>
      </c>
      <c r="F532" s="68">
        <f>9.3157 * CHOOSE(CONTROL!$C$22, $C$13, 100%, $E$13)</f>
        <v>9.3156999999999996</v>
      </c>
      <c r="G532" s="68">
        <f>9.3205 * CHOOSE(CONTROL!$C$22, $C$13, 100%, $E$13)</f>
        <v>9.3204999999999991</v>
      </c>
      <c r="H532" s="68">
        <f>14.4138* CHOOSE(CONTROL!$C$22, $C$13, 100%, $E$13)</f>
        <v>14.4138</v>
      </c>
      <c r="I532" s="68">
        <f>14.4185 * CHOOSE(CONTROL!$C$22, $C$13, 100%, $E$13)</f>
        <v>14.4185</v>
      </c>
      <c r="J532" s="68">
        <f>9.3157 * CHOOSE(CONTROL!$C$22, $C$13, 100%, $E$13)</f>
        <v>9.3156999999999996</v>
      </c>
      <c r="K532" s="68">
        <f>9.3205 * CHOOSE(CONTROL!$C$22, $C$13, 100%, $E$13)</f>
        <v>9.3204999999999991</v>
      </c>
    </row>
    <row r="533" spans="1:11" ht="15">
      <c r="A533" s="13">
        <v>57346</v>
      </c>
      <c r="B533" s="67">
        <f>8.0136 * CHOOSE(CONTROL!$C$22, $C$13, 100%, $E$13)</f>
        <v>8.0136000000000003</v>
      </c>
      <c r="C533" s="67">
        <f>8.0136 * CHOOSE(CONTROL!$C$22, $C$13, 100%, $E$13)</f>
        <v>8.0136000000000003</v>
      </c>
      <c r="D533" s="67">
        <f>8.0175 * CHOOSE(CONTROL!$C$22, $C$13, 100%, $E$13)</f>
        <v>8.0175000000000001</v>
      </c>
      <c r="E533" s="68">
        <f>9.4498 * CHOOSE(CONTROL!$C$22, $C$13, 100%, $E$13)</f>
        <v>9.4497999999999998</v>
      </c>
      <c r="F533" s="68">
        <f>9.4498 * CHOOSE(CONTROL!$C$22, $C$13, 100%, $E$13)</f>
        <v>9.4497999999999998</v>
      </c>
      <c r="G533" s="68">
        <f>9.4546 * CHOOSE(CONTROL!$C$22, $C$13, 100%, $E$13)</f>
        <v>9.4545999999999992</v>
      </c>
      <c r="H533" s="68">
        <f>14.4438* CHOOSE(CONTROL!$C$22, $C$13, 100%, $E$13)</f>
        <v>14.4438</v>
      </c>
      <c r="I533" s="68">
        <f>14.4485 * CHOOSE(CONTROL!$C$22, $C$13, 100%, $E$13)</f>
        <v>14.448499999999999</v>
      </c>
      <c r="J533" s="68">
        <f>9.4498 * CHOOSE(CONTROL!$C$22, $C$13, 100%, $E$13)</f>
        <v>9.4497999999999998</v>
      </c>
      <c r="K533" s="68">
        <f>9.4546 * CHOOSE(CONTROL!$C$22, $C$13, 100%, $E$13)</f>
        <v>9.4545999999999992</v>
      </c>
    </row>
    <row r="534" spans="1:11" ht="15">
      <c r="A534" s="13">
        <v>57377</v>
      </c>
      <c r="B534" s="67">
        <f>8.0106 * CHOOSE(CONTROL!$C$22, $C$13, 100%, $E$13)</f>
        <v>8.0106000000000002</v>
      </c>
      <c r="C534" s="67">
        <f>8.0106 * CHOOSE(CONTROL!$C$22, $C$13, 100%, $E$13)</f>
        <v>8.0106000000000002</v>
      </c>
      <c r="D534" s="67">
        <f>8.0145 * CHOOSE(CONTROL!$C$22, $C$13, 100%, $E$13)</f>
        <v>8.0145</v>
      </c>
      <c r="E534" s="68">
        <f>9.2901 * CHOOSE(CONTROL!$C$22, $C$13, 100%, $E$13)</f>
        <v>9.2901000000000007</v>
      </c>
      <c r="F534" s="68">
        <f>9.2901 * CHOOSE(CONTROL!$C$22, $C$13, 100%, $E$13)</f>
        <v>9.2901000000000007</v>
      </c>
      <c r="G534" s="68">
        <f>9.2949 * CHOOSE(CONTROL!$C$22, $C$13, 100%, $E$13)</f>
        <v>9.2949000000000002</v>
      </c>
      <c r="H534" s="68">
        <f>14.4739* CHOOSE(CONTROL!$C$22, $C$13, 100%, $E$13)</f>
        <v>14.4739</v>
      </c>
      <c r="I534" s="68">
        <f>14.4786 * CHOOSE(CONTROL!$C$22, $C$13, 100%, $E$13)</f>
        <v>14.4786</v>
      </c>
      <c r="J534" s="68">
        <f>9.2901 * CHOOSE(CONTROL!$C$22, $C$13, 100%, $E$13)</f>
        <v>9.2901000000000007</v>
      </c>
      <c r="K534" s="68">
        <f>9.2949 * CHOOSE(CONTROL!$C$22, $C$13, 100%, $E$13)</f>
        <v>9.2949000000000002</v>
      </c>
    </row>
    <row r="535" spans="1:11" ht="15">
      <c r="A535" s="13">
        <v>57405</v>
      </c>
      <c r="B535" s="67">
        <f>8.0075 * CHOOSE(CONTROL!$C$22, $C$13, 100%, $E$13)</f>
        <v>8.0075000000000003</v>
      </c>
      <c r="C535" s="67">
        <f>8.0075 * CHOOSE(CONTROL!$C$22, $C$13, 100%, $E$13)</f>
        <v>8.0075000000000003</v>
      </c>
      <c r="D535" s="67">
        <f>8.0114 * CHOOSE(CONTROL!$C$22, $C$13, 100%, $E$13)</f>
        <v>8.0114000000000001</v>
      </c>
      <c r="E535" s="68">
        <f>9.4122 * CHOOSE(CONTROL!$C$22, $C$13, 100%, $E$13)</f>
        <v>9.4122000000000003</v>
      </c>
      <c r="F535" s="68">
        <f>9.4122 * CHOOSE(CONTROL!$C$22, $C$13, 100%, $E$13)</f>
        <v>9.4122000000000003</v>
      </c>
      <c r="G535" s="68">
        <f>9.417 * CHOOSE(CONTROL!$C$22, $C$13, 100%, $E$13)</f>
        <v>9.4169999999999998</v>
      </c>
      <c r="H535" s="68">
        <f>14.504* CHOOSE(CONTROL!$C$22, $C$13, 100%, $E$13)</f>
        <v>14.504</v>
      </c>
      <c r="I535" s="68">
        <f>14.5088 * CHOOSE(CONTROL!$C$22, $C$13, 100%, $E$13)</f>
        <v>14.508800000000001</v>
      </c>
      <c r="J535" s="68">
        <f>9.4122 * CHOOSE(CONTROL!$C$22, $C$13, 100%, $E$13)</f>
        <v>9.4122000000000003</v>
      </c>
      <c r="K535" s="68">
        <f>9.417 * CHOOSE(CONTROL!$C$22, $C$13, 100%, $E$13)</f>
        <v>9.4169999999999998</v>
      </c>
    </row>
    <row r="536" spans="1:11" ht="15">
      <c r="A536" s="13">
        <v>57436</v>
      </c>
      <c r="B536" s="67">
        <f>8.0086 * CHOOSE(CONTROL!$C$22, $C$13, 100%, $E$13)</f>
        <v>8.0085999999999995</v>
      </c>
      <c r="C536" s="67">
        <f>8.0086 * CHOOSE(CONTROL!$C$22, $C$13, 100%, $E$13)</f>
        <v>8.0085999999999995</v>
      </c>
      <c r="D536" s="67">
        <f>8.0125 * CHOOSE(CONTROL!$C$22, $C$13, 100%, $E$13)</f>
        <v>8.0124999999999993</v>
      </c>
      <c r="E536" s="68">
        <f>9.5413 * CHOOSE(CONTROL!$C$22, $C$13, 100%, $E$13)</f>
        <v>9.5412999999999997</v>
      </c>
      <c r="F536" s="68">
        <f>9.5413 * CHOOSE(CONTROL!$C$22, $C$13, 100%, $E$13)</f>
        <v>9.5412999999999997</v>
      </c>
      <c r="G536" s="68">
        <f>9.5461 * CHOOSE(CONTROL!$C$22, $C$13, 100%, $E$13)</f>
        <v>9.5460999999999991</v>
      </c>
      <c r="H536" s="68">
        <f>14.5342* CHOOSE(CONTROL!$C$22, $C$13, 100%, $E$13)</f>
        <v>14.5342</v>
      </c>
      <c r="I536" s="68">
        <f>14.539 * CHOOSE(CONTROL!$C$22, $C$13, 100%, $E$13)</f>
        <v>14.539</v>
      </c>
      <c r="J536" s="68">
        <f>9.5413 * CHOOSE(CONTROL!$C$22, $C$13, 100%, $E$13)</f>
        <v>9.5412999999999997</v>
      </c>
      <c r="K536" s="68">
        <f>9.5461 * CHOOSE(CONTROL!$C$22, $C$13, 100%, $E$13)</f>
        <v>9.5460999999999991</v>
      </c>
    </row>
    <row r="537" spans="1:11" ht="15">
      <c r="A537" s="13">
        <v>57466</v>
      </c>
      <c r="B537" s="67">
        <f>8.0086 * CHOOSE(CONTROL!$C$22, $C$13, 100%, $E$13)</f>
        <v>8.0085999999999995</v>
      </c>
      <c r="C537" s="67">
        <f>8.0086 * CHOOSE(CONTROL!$C$22, $C$13, 100%, $E$13)</f>
        <v>8.0085999999999995</v>
      </c>
      <c r="D537" s="67">
        <f>8.0141 * CHOOSE(CONTROL!$C$22, $C$13, 100%, $E$13)</f>
        <v>8.0140999999999991</v>
      </c>
      <c r="E537" s="68">
        <f>9.5913 * CHOOSE(CONTROL!$C$22, $C$13, 100%, $E$13)</f>
        <v>9.5913000000000004</v>
      </c>
      <c r="F537" s="68">
        <f>9.5913 * CHOOSE(CONTROL!$C$22, $C$13, 100%, $E$13)</f>
        <v>9.5913000000000004</v>
      </c>
      <c r="G537" s="68">
        <f>9.5981 * CHOOSE(CONTROL!$C$22, $C$13, 100%, $E$13)</f>
        <v>9.5981000000000005</v>
      </c>
      <c r="H537" s="68">
        <f>14.5645* CHOOSE(CONTROL!$C$22, $C$13, 100%, $E$13)</f>
        <v>14.564500000000001</v>
      </c>
      <c r="I537" s="68">
        <f>14.5713 * CHOOSE(CONTROL!$C$22, $C$13, 100%, $E$13)</f>
        <v>14.571300000000001</v>
      </c>
      <c r="J537" s="68">
        <f>9.5913 * CHOOSE(CONTROL!$C$22, $C$13, 100%, $E$13)</f>
        <v>9.5913000000000004</v>
      </c>
      <c r="K537" s="68">
        <f>9.5981 * CHOOSE(CONTROL!$C$22, $C$13, 100%, $E$13)</f>
        <v>9.5981000000000005</v>
      </c>
    </row>
    <row r="538" spans="1:11" ht="15">
      <c r="A538" s="13">
        <v>57497</v>
      </c>
      <c r="B538" s="67">
        <f>8.0147 * CHOOSE(CONTROL!$C$22, $C$13, 100%, $E$13)</f>
        <v>8.0146999999999995</v>
      </c>
      <c r="C538" s="67">
        <f>8.0147 * CHOOSE(CONTROL!$C$22, $C$13, 100%, $E$13)</f>
        <v>8.0146999999999995</v>
      </c>
      <c r="D538" s="67">
        <f>8.0202 * CHOOSE(CONTROL!$C$22, $C$13, 100%, $E$13)</f>
        <v>8.0202000000000009</v>
      </c>
      <c r="E538" s="68">
        <f>9.5456 * CHOOSE(CONTROL!$C$22, $C$13, 100%, $E$13)</f>
        <v>9.5456000000000003</v>
      </c>
      <c r="F538" s="68">
        <f>9.5456 * CHOOSE(CONTROL!$C$22, $C$13, 100%, $E$13)</f>
        <v>9.5456000000000003</v>
      </c>
      <c r="G538" s="68">
        <f>9.5523 * CHOOSE(CONTROL!$C$22, $C$13, 100%, $E$13)</f>
        <v>9.5523000000000007</v>
      </c>
      <c r="H538" s="68">
        <f>14.5949* CHOOSE(CONTROL!$C$22, $C$13, 100%, $E$13)</f>
        <v>14.594900000000001</v>
      </c>
      <c r="I538" s="68">
        <f>14.6016 * CHOOSE(CONTROL!$C$22, $C$13, 100%, $E$13)</f>
        <v>14.601599999999999</v>
      </c>
      <c r="J538" s="68">
        <f>9.5456 * CHOOSE(CONTROL!$C$22, $C$13, 100%, $E$13)</f>
        <v>9.5456000000000003</v>
      </c>
      <c r="K538" s="68">
        <f>9.5523 * CHOOSE(CONTROL!$C$22, $C$13, 100%, $E$13)</f>
        <v>9.5523000000000007</v>
      </c>
    </row>
    <row r="539" spans="1:11" ht="15">
      <c r="A539" s="13">
        <v>57527</v>
      </c>
      <c r="B539" s="67">
        <f>8.1404 * CHOOSE(CONTROL!$C$22, $C$13, 100%, $E$13)</f>
        <v>8.1403999999999996</v>
      </c>
      <c r="C539" s="67">
        <f>8.1404 * CHOOSE(CONTROL!$C$22, $C$13, 100%, $E$13)</f>
        <v>8.1403999999999996</v>
      </c>
      <c r="D539" s="67">
        <f>8.1459 * CHOOSE(CONTROL!$C$22, $C$13, 100%, $E$13)</f>
        <v>8.1458999999999993</v>
      </c>
      <c r="E539" s="68">
        <f>9.7022 * CHOOSE(CONTROL!$C$22, $C$13, 100%, $E$13)</f>
        <v>9.7021999999999995</v>
      </c>
      <c r="F539" s="68">
        <f>9.7022 * CHOOSE(CONTROL!$C$22, $C$13, 100%, $E$13)</f>
        <v>9.7021999999999995</v>
      </c>
      <c r="G539" s="68">
        <f>9.7089 * CHOOSE(CONTROL!$C$22, $C$13, 100%, $E$13)</f>
        <v>9.7088999999999999</v>
      </c>
      <c r="H539" s="68">
        <f>14.6253* CHOOSE(CONTROL!$C$22, $C$13, 100%, $E$13)</f>
        <v>14.625299999999999</v>
      </c>
      <c r="I539" s="68">
        <f>14.632 * CHOOSE(CONTROL!$C$22, $C$13, 100%, $E$13)</f>
        <v>14.632</v>
      </c>
      <c r="J539" s="68">
        <f>9.7022 * CHOOSE(CONTROL!$C$22, $C$13, 100%, $E$13)</f>
        <v>9.7021999999999995</v>
      </c>
      <c r="K539" s="68">
        <f>9.7089 * CHOOSE(CONTROL!$C$22, $C$13, 100%, $E$13)</f>
        <v>9.7088999999999999</v>
      </c>
    </row>
    <row r="540" spans="1:11" ht="15">
      <c r="A540" s="13">
        <v>57558</v>
      </c>
      <c r="B540" s="67">
        <f>8.1471 * CHOOSE(CONTROL!$C$22, $C$13, 100%, $E$13)</f>
        <v>8.1471</v>
      </c>
      <c r="C540" s="67">
        <f>8.1471 * CHOOSE(CONTROL!$C$22, $C$13, 100%, $E$13)</f>
        <v>8.1471</v>
      </c>
      <c r="D540" s="67">
        <f>8.1526 * CHOOSE(CONTROL!$C$22, $C$13, 100%, $E$13)</f>
        <v>8.1525999999999996</v>
      </c>
      <c r="E540" s="68">
        <f>9.5568 * CHOOSE(CONTROL!$C$22, $C$13, 100%, $E$13)</f>
        <v>9.5568000000000008</v>
      </c>
      <c r="F540" s="68">
        <f>9.5568 * CHOOSE(CONTROL!$C$22, $C$13, 100%, $E$13)</f>
        <v>9.5568000000000008</v>
      </c>
      <c r="G540" s="68">
        <f>9.5635 * CHOOSE(CONTROL!$C$22, $C$13, 100%, $E$13)</f>
        <v>9.5634999999999994</v>
      </c>
      <c r="H540" s="68">
        <f>14.6557* CHOOSE(CONTROL!$C$22, $C$13, 100%, $E$13)</f>
        <v>14.6557</v>
      </c>
      <c r="I540" s="68">
        <f>14.6625 * CHOOSE(CONTROL!$C$22, $C$13, 100%, $E$13)</f>
        <v>14.6625</v>
      </c>
      <c r="J540" s="68">
        <f>9.5568 * CHOOSE(CONTROL!$C$22, $C$13, 100%, $E$13)</f>
        <v>9.5568000000000008</v>
      </c>
      <c r="K540" s="68">
        <f>9.5635 * CHOOSE(CONTROL!$C$22, $C$13, 100%, $E$13)</f>
        <v>9.5634999999999994</v>
      </c>
    </row>
    <row r="541" spans="1:11" ht="15">
      <c r="A541" s="13">
        <v>57589</v>
      </c>
      <c r="B541" s="67">
        <f>8.1441 * CHOOSE(CONTROL!$C$22, $C$13, 100%, $E$13)</f>
        <v>8.1440999999999999</v>
      </c>
      <c r="C541" s="67">
        <f>8.1441 * CHOOSE(CONTROL!$C$22, $C$13, 100%, $E$13)</f>
        <v>8.1440999999999999</v>
      </c>
      <c r="D541" s="67">
        <f>8.1496 * CHOOSE(CONTROL!$C$22, $C$13, 100%, $E$13)</f>
        <v>8.1495999999999995</v>
      </c>
      <c r="E541" s="68">
        <f>9.538 * CHOOSE(CONTROL!$C$22, $C$13, 100%, $E$13)</f>
        <v>9.5380000000000003</v>
      </c>
      <c r="F541" s="68">
        <f>9.538 * CHOOSE(CONTROL!$C$22, $C$13, 100%, $E$13)</f>
        <v>9.5380000000000003</v>
      </c>
      <c r="G541" s="68">
        <f>9.5448 * CHOOSE(CONTROL!$C$22, $C$13, 100%, $E$13)</f>
        <v>9.5448000000000004</v>
      </c>
      <c r="H541" s="68">
        <f>14.6863* CHOOSE(CONTROL!$C$22, $C$13, 100%, $E$13)</f>
        <v>14.686299999999999</v>
      </c>
      <c r="I541" s="68">
        <f>14.693 * CHOOSE(CONTROL!$C$22, $C$13, 100%, $E$13)</f>
        <v>14.693</v>
      </c>
      <c r="J541" s="68">
        <f>9.538 * CHOOSE(CONTROL!$C$22, $C$13, 100%, $E$13)</f>
        <v>9.5380000000000003</v>
      </c>
      <c r="K541" s="68">
        <f>9.5448 * CHOOSE(CONTROL!$C$22, $C$13, 100%, $E$13)</f>
        <v>9.5448000000000004</v>
      </c>
    </row>
    <row r="542" spans="1:11" ht="15">
      <c r="A542" s="13">
        <v>57619</v>
      </c>
      <c r="B542" s="67">
        <f>8.1527 * CHOOSE(CONTROL!$C$22, $C$13, 100%, $E$13)</f>
        <v>8.1526999999999994</v>
      </c>
      <c r="C542" s="67">
        <f>8.1527 * CHOOSE(CONTROL!$C$22, $C$13, 100%, $E$13)</f>
        <v>8.1526999999999994</v>
      </c>
      <c r="D542" s="67">
        <f>8.1566 * CHOOSE(CONTROL!$C$22, $C$13, 100%, $E$13)</f>
        <v>8.1565999999999992</v>
      </c>
      <c r="E542" s="68">
        <f>9.5913 * CHOOSE(CONTROL!$C$22, $C$13, 100%, $E$13)</f>
        <v>9.5913000000000004</v>
      </c>
      <c r="F542" s="68">
        <f>9.5913 * CHOOSE(CONTROL!$C$22, $C$13, 100%, $E$13)</f>
        <v>9.5913000000000004</v>
      </c>
      <c r="G542" s="68">
        <f>9.5961 * CHOOSE(CONTROL!$C$22, $C$13, 100%, $E$13)</f>
        <v>9.5960999999999999</v>
      </c>
      <c r="H542" s="68">
        <f>14.7169* CHOOSE(CONTROL!$C$22, $C$13, 100%, $E$13)</f>
        <v>14.716900000000001</v>
      </c>
      <c r="I542" s="68">
        <f>14.7216 * CHOOSE(CONTROL!$C$22, $C$13, 100%, $E$13)</f>
        <v>14.7216</v>
      </c>
      <c r="J542" s="68">
        <f>9.5913 * CHOOSE(CONTROL!$C$22, $C$13, 100%, $E$13)</f>
        <v>9.5913000000000004</v>
      </c>
      <c r="K542" s="68">
        <f>9.5961 * CHOOSE(CONTROL!$C$22, $C$13, 100%, $E$13)</f>
        <v>9.5960999999999999</v>
      </c>
    </row>
    <row r="543" spans="1:11" ht="15">
      <c r="A543" s="13">
        <v>57650</v>
      </c>
      <c r="B543" s="67">
        <f>8.1558 * CHOOSE(CONTROL!$C$22, $C$13, 100%, $E$13)</f>
        <v>8.1557999999999993</v>
      </c>
      <c r="C543" s="67">
        <f>8.1558 * CHOOSE(CONTROL!$C$22, $C$13, 100%, $E$13)</f>
        <v>8.1557999999999993</v>
      </c>
      <c r="D543" s="67">
        <f>8.1596 * CHOOSE(CONTROL!$C$22, $C$13, 100%, $E$13)</f>
        <v>8.1595999999999993</v>
      </c>
      <c r="E543" s="68">
        <f>9.6267 * CHOOSE(CONTROL!$C$22, $C$13, 100%, $E$13)</f>
        <v>9.6266999999999996</v>
      </c>
      <c r="F543" s="68">
        <f>9.6267 * CHOOSE(CONTROL!$C$22, $C$13, 100%, $E$13)</f>
        <v>9.6266999999999996</v>
      </c>
      <c r="G543" s="68">
        <f>9.6315 * CHOOSE(CONTROL!$C$22, $C$13, 100%, $E$13)</f>
        <v>9.6315000000000008</v>
      </c>
      <c r="H543" s="68">
        <f>14.7475* CHOOSE(CONTROL!$C$22, $C$13, 100%, $E$13)</f>
        <v>14.7475</v>
      </c>
      <c r="I543" s="68">
        <f>14.7523 * CHOOSE(CONTROL!$C$22, $C$13, 100%, $E$13)</f>
        <v>14.7523</v>
      </c>
      <c r="J543" s="68">
        <f>9.6267 * CHOOSE(CONTROL!$C$22, $C$13, 100%, $E$13)</f>
        <v>9.6266999999999996</v>
      </c>
      <c r="K543" s="68">
        <f>9.6315 * CHOOSE(CONTROL!$C$22, $C$13, 100%, $E$13)</f>
        <v>9.6315000000000008</v>
      </c>
    </row>
    <row r="544" spans="1:11" ht="15">
      <c r="A544" s="13">
        <v>57680</v>
      </c>
      <c r="B544" s="67">
        <f>8.1558 * CHOOSE(CONTROL!$C$22, $C$13, 100%, $E$13)</f>
        <v>8.1557999999999993</v>
      </c>
      <c r="C544" s="67">
        <f>8.1558 * CHOOSE(CONTROL!$C$22, $C$13, 100%, $E$13)</f>
        <v>8.1557999999999993</v>
      </c>
      <c r="D544" s="67">
        <f>8.1596 * CHOOSE(CONTROL!$C$22, $C$13, 100%, $E$13)</f>
        <v>8.1595999999999993</v>
      </c>
      <c r="E544" s="68">
        <f>9.5434 * CHOOSE(CONTROL!$C$22, $C$13, 100%, $E$13)</f>
        <v>9.5434000000000001</v>
      </c>
      <c r="F544" s="68">
        <f>9.5434 * CHOOSE(CONTROL!$C$22, $C$13, 100%, $E$13)</f>
        <v>9.5434000000000001</v>
      </c>
      <c r="G544" s="68">
        <f>9.5482 * CHOOSE(CONTROL!$C$22, $C$13, 100%, $E$13)</f>
        <v>9.5481999999999996</v>
      </c>
      <c r="H544" s="68">
        <f>14.7783* CHOOSE(CONTROL!$C$22, $C$13, 100%, $E$13)</f>
        <v>14.7783</v>
      </c>
      <c r="I544" s="68">
        <f>14.783 * CHOOSE(CONTROL!$C$22, $C$13, 100%, $E$13)</f>
        <v>14.782999999999999</v>
      </c>
      <c r="J544" s="68">
        <f>9.5434 * CHOOSE(CONTROL!$C$22, $C$13, 100%, $E$13)</f>
        <v>9.5434000000000001</v>
      </c>
      <c r="K544" s="68">
        <f>9.5482 * CHOOSE(CONTROL!$C$22, $C$13, 100%, $E$13)</f>
        <v>9.5481999999999996</v>
      </c>
    </row>
    <row r="545" spans="1:11" ht="15">
      <c r="A545" s="13">
        <v>57711</v>
      </c>
      <c r="B545" s="67">
        <f>8.2256 * CHOOSE(CONTROL!$C$22, $C$13, 100%, $E$13)</f>
        <v>8.2256</v>
      </c>
      <c r="C545" s="67">
        <f>8.2256 * CHOOSE(CONTROL!$C$22, $C$13, 100%, $E$13)</f>
        <v>8.2256</v>
      </c>
      <c r="D545" s="67">
        <f>8.2295 * CHOOSE(CONTROL!$C$22, $C$13, 100%, $E$13)</f>
        <v>8.2294999999999998</v>
      </c>
      <c r="E545" s="68">
        <f>9.6809 * CHOOSE(CONTROL!$C$22, $C$13, 100%, $E$13)</f>
        <v>9.6808999999999994</v>
      </c>
      <c r="F545" s="68">
        <f>9.6809 * CHOOSE(CONTROL!$C$22, $C$13, 100%, $E$13)</f>
        <v>9.6808999999999994</v>
      </c>
      <c r="G545" s="68">
        <f>9.6857 * CHOOSE(CONTROL!$C$22, $C$13, 100%, $E$13)</f>
        <v>9.6857000000000006</v>
      </c>
      <c r="H545" s="68">
        <f>14.809* CHOOSE(CONTROL!$C$22, $C$13, 100%, $E$13)</f>
        <v>14.808999999999999</v>
      </c>
      <c r="I545" s="68">
        <f>14.8138 * CHOOSE(CONTROL!$C$22, $C$13, 100%, $E$13)</f>
        <v>14.813800000000001</v>
      </c>
      <c r="J545" s="68">
        <f>9.6809 * CHOOSE(CONTROL!$C$22, $C$13, 100%, $E$13)</f>
        <v>9.6808999999999994</v>
      </c>
      <c r="K545" s="68">
        <f>9.6857 * CHOOSE(CONTROL!$C$22, $C$13, 100%, $E$13)</f>
        <v>9.6857000000000006</v>
      </c>
    </row>
    <row r="546" spans="1:11" ht="15">
      <c r="A546" s="13">
        <v>57742</v>
      </c>
      <c r="B546" s="67">
        <f>8.2226 * CHOOSE(CONTROL!$C$22, $C$13, 100%, $E$13)</f>
        <v>8.2225999999999999</v>
      </c>
      <c r="C546" s="67">
        <f>8.2226 * CHOOSE(CONTROL!$C$22, $C$13, 100%, $E$13)</f>
        <v>8.2225999999999999</v>
      </c>
      <c r="D546" s="67">
        <f>8.2264 * CHOOSE(CONTROL!$C$22, $C$13, 100%, $E$13)</f>
        <v>8.2263999999999999</v>
      </c>
      <c r="E546" s="68">
        <f>9.5169 * CHOOSE(CONTROL!$C$22, $C$13, 100%, $E$13)</f>
        <v>9.5168999999999997</v>
      </c>
      <c r="F546" s="68">
        <f>9.5169 * CHOOSE(CONTROL!$C$22, $C$13, 100%, $E$13)</f>
        <v>9.5168999999999997</v>
      </c>
      <c r="G546" s="68">
        <f>9.5216 * CHOOSE(CONTROL!$C$22, $C$13, 100%, $E$13)</f>
        <v>9.5215999999999994</v>
      </c>
      <c r="H546" s="68">
        <f>14.8399* CHOOSE(CONTROL!$C$22, $C$13, 100%, $E$13)</f>
        <v>14.8399</v>
      </c>
      <c r="I546" s="68">
        <f>14.8447 * CHOOSE(CONTROL!$C$22, $C$13, 100%, $E$13)</f>
        <v>14.8447</v>
      </c>
      <c r="J546" s="68">
        <f>9.5169 * CHOOSE(CONTROL!$C$22, $C$13, 100%, $E$13)</f>
        <v>9.5168999999999997</v>
      </c>
      <c r="K546" s="68">
        <f>9.5216 * CHOOSE(CONTROL!$C$22, $C$13, 100%, $E$13)</f>
        <v>9.5215999999999994</v>
      </c>
    </row>
    <row r="547" spans="1:11" ht="15">
      <c r="A547" s="13">
        <v>57770</v>
      </c>
      <c r="B547" s="67">
        <f>8.2195 * CHOOSE(CONTROL!$C$22, $C$13, 100%, $E$13)</f>
        <v>8.2195</v>
      </c>
      <c r="C547" s="67">
        <f>8.2195 * CHOOSE(CONTROL!$C$22, $C$13, 100%, $E$13)</f>
        <v>8.2195</v>
      </c>
      <c r="D547" s="67">
        <f>8.2234 * CHOOSE(CONTROL!$C$22, $C$13, 100%, $E$13)</f>
        <v>8.2233999999999998</v>
      </c>
      <c r="E547" s="68">
        <f>9.6424 * CHOOSE(CONTROL!$C$22, $C$13, 100%, $E$13)</f>
        <v>9.6424000000000003</v>
      </c>
      <c r="F547" s="68">
        <f>9.6424 * CHOOSE(CONTROL!$C$22, $C$13, 100%, $E$13)</f>
        <v>9.6424000000000003</v>
      </c>
      <c r="G547" s="68">
        <f>9.6472 * CHOOSE(CONTROL!$C$22, $C$13, 100%, $E$13)</f>
        <v>9.6471999999999998</v>
      </c>
      <c r="H547" s="68">
        <f>14.8708* CHOOSE(CONTROL!$C$22, $C$13, 100%, $E$13)</f>
        <v>14.870799999999999</v>
      </c>
      <c r="I547" s="68">
        <f>14.8756 * CHOOSE(CONTROL!$C$22, $C$13, 100%, $E$13)</f>
        <v>14.8756</v>
      </c>
      <c r="J547" s="68">
        <f>9.6424 * CHOOSE(CONTROL!$C$22, $C$13, 100%, $E$13)</f>
        <v>9.6424000000000003</v>
      </c>
      <c r="K547" s="68">
        <f>9.6472 * CHOOSE(CONTROL!$C$22, $C$13, 100%, $E$13)</f>
        <v>9.6471999999999998</v>
      </c>
    </row>
    <row r="548" spans="1:11" ht="15">
      <c r="A548" s="13">
        <v>57801</v>
      </c>
      <c r="B548" s="67">
        <f>8.2208 * CHOOSE(CONTROL!$C$22, $C$13, 100%, $E$13)</f>
        <v>8.2208000000000006</v>
      </c>
      <c r="C548" s="67">
        <f>8.2208 * CHOOSE(CONTROL!$C$22, $C$13, 100%, $E$13)</f>
        <v>8.2208000000000006</v>
      </c>
      <c r="D548" s="67">
        <f>8.2247 * CHOOSE(CONTROL!$C$22, $C$13, 100%, $E$13)</f>
        <v>8.2247000000000003</v>
      </c>
      <c r="E548" s="68">
        <f>9.7753 * CHOOSE(CONTROL!$C$22, $C$13, 100%, $E$13)</f>
        <v>9.7752999999999997</v>
      </c>
      <c r="F548" s="68">
        <f>9.7753 * CHOOSE(CONTROL!$C$22, $C$13, 100%, $E$13)</f>
        <v>9.7752999999999997</v>
      </c>
      <c r="G548" s="68">
        <f>9.7801 * CHOOSE(CONTROL!$C$22, $C$13, 100%, $E$13)</f>
        <v>9.7800999999999991</v>
      </c>
      <c r="H548" s="68">
        <f>14.9018* CHOOSE(CONTROL!$C$22, $C$13, 100%, $E$13)</f>
        <v>14.9018</v>
      </c>
      <c r="I548" s="68">
        <f>14.9066 * CHOOSE(CONTROL!$C$22, $C$13, 100%, $E$13)</f>
        <v>14.906599999999999</v>
      </c>
      <c r="J548" s="68">
        <f>9.7753 * CHOOSE(CONTROL!$C$22, $C$13, 100%, $E$13)</f>
        <v>9.7752999999999997</v>
      </c>
      <c r="K548" s="68">
        <f>9.7801 * CHOOSE(CONTROL!$C$22, $C$13, 100%, $E$13)</f>
        <v>9.7800999999999991</v>
      </c>
    </row>
    <row r="549" spans="1:11" ht="15">
      <c r="A549" s="13">
        <v>57831</v>
      </c>
      <c r="B549" s="67">
        <f>8.2208 * CHOOSE(CONTROL!$C$22, $C$13, 100%, $E$13)</f>
        <v>8.2208000000000006</v>
      </c>
      <c r="C549" s="67">
        <f>8.2208 * CHOOSE(CONTROL!$C$22, $C$13, 100%, $E$13)</f>
        <v>8.2208000000000006</v>
      </c>
      <c r="D549" s="67">
        <f>8.2263 * CHOOSE(CONTROL!$C$22, $C$13, 100%, $E$13)</f>
        <v>8.2263000000000002</v>
      </c>
      <c r="E549" s="68">
        <f>9.8267 * CHOOSE(CONTROL!$C$22, $C$13, 100%, $E$13)</f>
        <v>9.8267000000000007</v>
      </c>
      <c r="F549" s="68">
        <f>9.8267 * CHOOSE(CONTROL!$C$22, $C$13, 100%, $E$13)</f>
        <v>9.8267000000000007</v>
      </c>
      <c r="G549" s="68">
        <f>9.8334 * CHOOSE(CONTROL!$C$22, $C$13, 100%, $E$13)</f>
        <v>9.8333999999999993</v>
      </c>
      <c r="H549" s="68">
        <f>14.9328* CHOOSE(CONTROL!$C$22, $C$13, 100%, $E$13)</f>
        <v>14.9328</v>
      </c>
      <c r="I549" s="68">
        <f>14.9396 * CHOOSE(CONTROL!$C$22, $C$13, 100%, $E$13)</f>
        <v>14.9396</v>
      </c>
      <c r="J549" s="68">
        <f>9.8267 * CHOOSE(CONTROL!$C$22, $C$13, 100%, $E$13)</f>
        <v>9.8267000000000007</v>
      </c>
      <c r="K549" s="68">
        <f>9.8334 * CHOOSE(CONTROL!$C$22, $C$13, 100%, $E$13)</f>
        <v>9.8333999999999993</v>
      </c>
    </row>
    <row r="550" spans="1:11" ht="15">
      <c r="A550" s="13">
        <v>57862</v>
      </c>
      <c r="B550" s="67">
        <f>8.2269 * CHOOSE(CONTROL!$C$22, $C$13, 100%, $E$13)</f>
        <v>8.2269000000000005</v>
      </c>
      <c r="C550" s="67">
        <f>8.2269 * CHOOSE(CONTROL!$C$22, $C$13, 100%, $E$13)</f>
        <v>8.2269000000000005</v>
      </c>
      <c r="D550" s="67">
        <f>8.2324 * CHOOSE(CONTROL!$C$22, $C$13, 100%, $E$13)</f>
        <v>8.2324000000000002</v>
      </c>
      <c r="E550" s="68">
        <f>9.7795 * CHOOSE(CONTROL!$C$22, $C$13, 100%, $E$13)</f>
        <v>9.7795000000000005</v>
      </c>
      <c r="F550" s="68">
        <f>9.7795 * CHOOSE(CONTROL!$C$22, $C$13, 100%, $E$13)</f>
        <v>9.7795000000000005</v>
      </c>
      <c r="G550" s="68">
        <f>9.7863 * CHOOSE(CONTROL!$C$22, $C$13, 100%, $E$13)</f>
        <v>9.7863000000000007</v>
      </c>
      <c r="H550" s="68">
        <f>14.9639* CHOOSE(CONTROL!$C$22, $C$13, 100%, $E$13)</f>
        <v>14.963900000000001</v>
      </c>
      <c r="I550" s="68">
        <f>14.9707 * CHOOSE(CONTROL!$C$22, $C$13, 100%, $E$13)</f>
        <v>14.970700000000001</v>
      </c>
      <c r="J550" s="68">
        <f>9.7795 * CHOOSE(CONTROL!$C$22, $C$13, 100%, $E$13)</f>
        <v>9.7795000000000005</v>
      </c>
      <c r="K550" s="68">
        <f>9.7863 * CHOOSE(CONTROL!$C$22, $C$13, 100%, $E$13)</f>
        <v>9.7863000000000007</v>
      </c>
    </row>
    <row r="551" spans="1:11" ht="15">
      <c r="A551" s="13">
        <v>57892</v>
      </c>
      <c r="B551" s="67">
        <f>8.3557 * CHOOSE(CONTROL!$C$22, $C$13, 100%, $E$13)</f>
        <v>8.3557000000000006</v>
      </c>
      <c r="C551" s="67">
        <f>8.3557 * CHOOSE(CONTROL!$C$22, $C$13, 100%, $E$13)</f>
        <v>8.3557000000000006</v>
      </c>
      <c r="D551" s="67">
        <f>8.3612 * CHOOSE(CONTROL!$C$22, $C$13, 100%, $E$13)</f>
        <v>8.3612000000000002</v>
      </c>
      <c r="E551" s="68">
        <f>9.9397 * CHOOSE(CONTROL!$C$22, $C$13, 100%, $E$13)</f>
        <v>9.9397000000000002</v>
      </c>
      <c r="F551" s="68">
        <f>9.9397 * CHOOSE(CONTROL!$C$22, $C$13, 100%, $E$13)</f>
        <v>9.9397000000000002</v>
      </c>
      <c r="G551" s="68">
        <f>9.9464 * CHOOSE(CONTROL!$C$22, $C$13, 100%, $E$13)</f>
        <v>9.9464000000000006</v>
      </c>
      <c r="H551" s="68">
        <f>14.9951* CHOOSE(CONTROL!$C$22, $C$13, 100%, $E$13)</f>
        <v>14.995100000000001</v>
      </c>
      <c r="I551" s="68">
        <f>15.0019 * CHOOSE(CONTROL!$C$22, $C$13, 100%, $E$13)</f>
        <v>15.001899999999999</v>
      </c>
      <c r="J551" s="68">
        <f>9.9397 * CHOOSE(CONTROL!$C$22, $C$13, 100%, $E$13)</f>
        <v>9.9397000000000002</v>
      </c>
      <c r="K551" s="68">
        <f>9.9464 * CHOOSE(CONTROL!$C$22, $C$13, 100%, $E$13)</f>
        <v>9.9464000000000006</v>
      </c>
    </row>
    <row r="552" spans="1:11" ht="15">
      <c r="A552" s="13">
        <v>57923</v>
      </c>
      <c r="B552" s="67">
        <f>8.3623 * CHOOSE(CONTROL!$C$22, $C$13, 100%, $E$13)</f>
        <v>8.3622999999999994</v>
      </c>
      <c r="C552" s="67">
        <f>8.3623 * CHOOSE(CONTROL!$C$22, $C$13, 100%, $E$13)</f>
        <v>8.3622999999999994</v>
      </c>
      <c r="D552" s="67">
        <f>8.3678 * CHOOSE(CONTROL!$C$22, $C$13, 100%, $E$13)</f>
        <v>8.3678000000000008</v>
      </c>
      <c r="E552" s="68">
        <f>9.7901 * CHOOSE(CONTROL!$C$22, $C$13, 100%, $E$13)</f>
        <v>9.7901000000000007</v>
      </c>
      <c r="F552" s="68">
        <f>9.7901 * CHOOSE(CONTROL!$C$22, $C$13, 100%, $E$13)</f>
        <v>9.7901000000000007</v>
      </c>
      <c r="G552" s="68">
        <f>9.7968 * CHOOSE(CONTROL!$C$22, $C$13, 100%, $E$13)</f>
        <v>9.7967999999999993</v>
      </c>
      <c r="H552" s="68">
        <f>15.0264* CHOOSE(CONTROL!$C$22, $C$13, 100%, $E$13)</f>
        <v>15.026400000000001</v>
      </c>
      <c r="I552" s="68">
        <f>15.0331 * CHOOSE(CONTROL!$C$22, $C$13, 100%, $E$13)</f>
        <v>15.033099999999999</v>
      </c>
      <c r="J552" s="68">
        <f>9.7901 * CHOOSE(CONTROL!$C$22, $C$13, 100%, $E$13)</f>
        <v>9.7901000000000007</v>
      </c>
      <c r="K552" s="68">
        <f>9.7968 * CHOOSE(CONTROL!$C$22, $C$13, 100%, $E$13)</f>
        <v>9.7967999999999993</v>
      </c>
    </row>
    <row r="553" spans="1:11" ht="15">
      <c r="A553" s="13">
        <v>57954</v>
      </c>
      <c r="B553" s="67">
        <f>8.3593 * CHOOSE(CONTROL!$C$22, $C$13, 100%, $E$13)</f>
        <v>8.3592999999999993</v>
      </c>
      <c r="C553" s="67">
        <f>8.3593 * CHOOSE(CONTROL!$C$22, $C$13, 100%, $E$13)</f>
        <v>8.3592999999999993</v>
      </c>
      <c r="D553" s="67">
        <f>8.3648 * CHOOSE(CONTROL!$C$22, $C$13, 100%, $E$13)</f>
        <v>8.3648000000000007</v>
      </c>
      <c r="E553" s="68">
        <f>9.7709 * CHOOSE(CONTROL!$C$22, $C$13, 100%, $E$13)</f>
        <v>9.7708999999999993</v>
      </c>
      <c r="F553" s="68">
        <f>9.7709 * CHOOSE(CONTROL!$C$22, $C$13, 100%, $E$13)</f>
        <v>9.7708999999999993</v>
      </c>
      <c r="G553" s="68">
        <f>9.7776 * CHOOSE(CONTROL!$C$22, $C$13, 100%, $E$13)</f>
        <v>9.7775999999999996</v>
      </c>
      <c r="H553" s="68">
        <f>15.0577* CHOOSE(CONTROL!$C$22, $C$13, 100%, $E$13)</f>
        <v>15.057700000000001</v>
      </c>
      <c r="I553" s="68">
        <f>15.0644 * CHOOSE(CONTROL!$C$22, $C$13, 100%, $E$13)</f>
        <v>15.064399999999999</v>
      </c>
      <c r="J553" s="68">
        <f>9.7709 * CHOOSE(CONTROL!$C$22, $C$13, 100%, $E$13)</f>
        <v>9.7708999999999993</v>
      </c>
      <c r="K553" s="68">
        <f>9.7776 * CHOOSE(CONTROL!$C$22, $C$13, 100%, $E$13)</f>
        <v>9.7775999999999996</v>
      </c>
    </row>
    <row r="554" spans="1:11" ht="15">
      <c r="A554" s="13">
        <v>57984</v>
      </c>
      <c r="B554" s="67">
        <f>8.3686 * CHOOSE(CONTROL!$C$22, $C$13, 100%, $E$13)</f>
        <v>8.3686000000000007</v>
      </c>
      <c r="C554" s="67">
        <f>8.3686 * CHOOSE(CONTROL!$C$22, $C$13, 100%, $E$13)</f>
        <v>8.3686000000000007</v>
      </c>
      <c r="D554" s="67">
        <f>8.3725 * CHOOSE(CONTROL!$C$22, $C$13, 100%, $E$13)</f>
        <v>8.3725000000000005</v>
      </c>
      <c r="E554" s="68">
        <f>9.826 * CHOOSE(CONTROL!$C$22, $C$13, 100%, $E$13)</f>
        <v>9.8260000000000005</v>
      </c>
      <c r="F554" s="68">
        <f>9.826 * CHOOSE(CONTROL!$C$22, $C$13, 100%, $E$13)</f>
        <v>9.8260000000000005</v>
      </c>
      <c r="G554" s="68">
        <f>9.8308 * CHOOSE(CONTROL!$C$22, $C$13, 100%, $E$13)</f>
        <v>9.8308</v>
      </c>
      <c r="H554" s="68">
        <f>15.089* CHOOSE(CONTROL!$C$22, $C$13, 100%, $E$13)</f>
        <v>15.089</v>
      </c>
      <c r="I554" s="68">
        <f>15.0938 * CHOOSE(CONTROL!$C$22, $C$13, 100%, $E$13)</f>
        <v>15.0938</v>
      </c>
      <c r="J554" s="68">
        <f>9.826 * CHOOSE(CONTROL!$C$22, $C$13, 100%, $E$13)</f>
        <v>9.8260000000000005</v>
      </c>
      <c r="K554" s="68">
        <f>9.8308 * CHOOSE(CONTROL!$C$22, $C$13, 100%, $E$13)</f>
        <v>9.8308</v>
      </c>
    </row>
    <row r="555" spans="1:11" ht="15">
      <c r="A555" s="13">
        <v>58015</v>
      </c>
      <c r="B555" s="67">
        <f>8.3717 * CHOOSE(CONTROL!$C$22, $C$13, 100%, $E$13)</f>
        <v>8.3717000000000006</v>
      </c>
      <c r="C555" s="67">
        <f>8.3717 * CHOOSE(CONTROL!$C$22, $C$13, 100%, $E$13)</f>
        <v>8.3717000000000006</v>
      </c>
      <c r="D555" s="67">
        <f>8.3755 * CHOOSE(CONTROL!$C$22, $C$13, 100%, $E$13)</f>
        <v>8.3755000000000006</v>
      </c>
      <c r="E555" s="68">
        <f>9.8624 * CHOOSE(CONTROL!$C$22, $C$13, 100%, $E$13)</f>
        <v>9.8623999999999992</v>
      </c>
      <c r="F555" s="68">
        <f>9.8624 * CHOOSE(CONTROL!$C$22, $C$13, 100%, $E$13)</f>
        <v>9.8623999999999992</v>
      </c>
      <c r="G555" s="68">
        <f>9.8672 * CHOOSE(CONTROL!$C$22, $C$13, 100%, $E$13)</f>
        <v>9.8672000000000004</v>
      </c>
      <c r="H555" s="68">
        <f>15.1205* CHOOSE(CONTROL!$C$22, $C$13, 100%, $E$13)</f>
        <v>15.1205</v>
      </c>
      <c r="I555" s="68">
        <f>15.1252 * CHOOSE(CONTROL!$C$22, $C$13, 100%, $E$13)</f>
        <v>15.1252</v>
      </c>
      <c r="J555" s="68">
        <f>9.8624 * CHOOSE(CONTROL!$C$22, $C$13, 100%, $E$13)</f>
        <v>9.8623999999999992</v>
      </c>
      <c r="K555" s="68">
        <f>9.8672 * CHOOSE(CONTROL!$C$22, $C$13, 100%, $E$13)</f>
        <v>9.8672000000000004</v>
      </c>
    </row>
    <row r="556" spans="1:11" ht="15">
      <c r="A556" s="13">
        <v>58045</v>
      </c>
      <c r="B556" s="67">
        <f>8.3717 * CHOOSE(CONTROL!$C$22, $C$13, 100%, $E$13)</f>
        <v>8.3717000000000006</v>
      </c>
      <c r="C556" s="67">
        <f>8.3717 * CHOOSE(CONTROL!$C$22, $C$13, 100%, $E$13)</f>
        <v>8.3717000000000006</v>
      </c>
      <c r="D556" s="67">
        <f>8.3755 * CHOOSE(CONTROL!$C$22, $C$13, 100%, $E$13)</f>
        <v>8.3755000000000006</v>
      </c>
      <c r="E556" s="68">
        <f>9.7767 * CHOOSE(CONTROL!$C$22, $C$13, 100%, $E$13)</f>
        <v>9.7766999999999999</v>
      </c>
      <c r="F556" s="68">
        <f>9.7767 * CHOOSE(CONTROL!$C$22, $C$13, 100%, $E$13)</f>
        <v>9.7766999999999999</v>
      </c>
      <c r="G556" s="68">
        <f>9.7815 * CHOOSE(CONTROL!$C$22, $C$13, 100%, $E$13)</f>
        <v>9.7814999999999994</v>
      </c>
      <c r="H556" s="68">
        <f>15.152* CHOOSE(CONTROL!$C$22, $C$13, 100%, $E$13)</f>
        <v>15.151999999999999</v>
      </c>
      <c r="I556" s="68">
        <f>15.1567 * CHOOSE(CONTROL!$C$22, $C$13, 100%, $E$13)</f>
        <v>15.156700000000001</v>
      </c>
      <c r="J556" s="68">
        <f>9.7767 * CHOOSE(CONTROL!$C$22, $C$13, 100%, $E$13)</f>
        <v>9.7766999999999999</v>
      </c>
      <c r="K556" s="68">
        <f>9.7815 * CHOOSE(CONTROL!$C$22, $C$13, 100%, $E$13)</f>
        <v>9.7814999999999994</v>
      </c>
    </row>
    <row r="557" spans="1:11" ht="15">
      <c r="A557" s="13">
        <v>58076</v>
      </c>
      <c r="B557" s="67">
        <f>8.4433 * CHOOSE(CONTROL!$C$22, $C$13, 100%, $E$13)</f>
        <v>8.4433000000000007</v>
      </c>
      <c r="C557" s="67">
        <f>8.4433 * CHOOSE(CONTROL!$C$22, $C$13, 100%, $E$13)</f>
        <v>8.4433000000000007</v>
      </c>
      <c r="D557" s="67">
        <f>8.4471 * CHOOSE(CONTROL!$C$22, $C$13, 100%, $E$13)</f>
        <v>8.4471000000000007</v>
      </c>
      <c r="E557" s="68">
        <f>9.9178 * CHOOSE(CONTROL!$C$22, $C$13, 100%, $E$13)</f>
        <v>9.9177999999999997</v>
      </c>
      <c r="F557" s="68">
        <f>9.9178 * CHOOSE(CONTROL!$C$22, $C$13, 100%, $E$13)</f>
        <v>9.9177999999999997</v>
      </c>
      <c r="G557" s="68">
        <f>9.9225 * CHOOSE(CONTROL!$C$22, $C$13, 100%, $E$13)</f>
        <v>9.9224999999999994</v>
      </c>
      <c r="H557" s="68">
        <f>15.1835* CHOOSE(CONTROL!$C$22, $C$13, 100%, $E$13)</f>
        <v>15.1835</v>
      </c>
      <c r="I557" s="68">
        <f>15.1883 * CHOOSE(CONTROL!$C$22, $C$13, 100%, $E$13)</f>
        <v>15.1883</v>
      </c>
      <c r="J557" s="68">
        <f>9.9178 * CHOOSE(CONTROL!$C$22, $C$13, 100%, $E$13)</f>
        <v>9.9177999999999997</v>
      </c>
      <c r="K557" s="68">
        <f>9.9225 * CHOOSE(CONTROL!$C$22, $C$13, 100%, $E$13)</f>
        <v>9.9224999999999994</v>
      </c>
    </row>
    <row r="558" spans="1:11" ht="15">
      <c r="A558" s="13">
        <v>58107</v>
      </c>
      <c r="B558" s="67">
        <f>8.4402 * CHOOSE(CONTROL!$C$22, $C$13, 100%, $E$13)</f>
        <v>8.4402000000000008</v>
      </c>
      <c r="C558" s="67">
        <f>8.4402 * CHOOSE(CONTROL!$C$22, $C$13, 100%, $E$13)</f>
        <v>8.4402000000000008</v>
      </c>
      <c r="D558" s="67">
        <f>8.4441 * CHOOSE(CONTROL!$C$22, $C$13, 100%, $E$13)</f>
        <v>8.4441000000000006</v>
      </c>
      <c r="E558" s="68">
        <f>9.7492 * CHOOSE(CONTROL!$C$22, $C$13, 100%, $E$13)</f>
        <v>9.7492000000000001</v>
      </c>
      <c r="F558" s="68">
        <f>9.7492 * CHOOSE(CONTROL!$C$22, $C$13, 100%, $E$13)</f>
        <v>9.7492000000000001</v>
      </c>
      <c r="G558" s="68">
        <f>9.7539 * CHOOSE(CONTROL!$C$22, $C$13, 100%, $E$13)</f>
        <v>9.7538999999999998</v>
      </c>
      <c r="H558" s="68">
        <f>15.2152* CHOOSE(CONTROL!$C$22, $C$13, 100%, $E$13)</f>
        <v>15.215199999999999</v>
      </c>
      <c r="I558" s="68">
        <f>15.2199 * CHOOSE(CONTROL!$C$22, $C$13, 100%, $E$13)</f>
        <v>15.219900000000001</v>
      </c>
      <c r="J558" s="68">
        <f>9.7492 * CHOOSE(CONTROL!$C$22, $C$13, 100%, $E$13)</f>
        <v>9.7492000000000001</v>
      </c>
      <c r="K558" s="68">
        <f>9.7539 * CHOOSE(CONTROL!$C$22, $C$13, 100%, $E$13)</f>
        <v>9.7538999999999998</v>
      </c>
    </row>
    <row r="559" spans="1:11" ht="15">
      <c r="A559" s="13">
        <v>58135</v>
      </c>
      <c r="B559" s="67">
        <f>8.4372 * CHOOSE(CONTROL!$C$22, $C$13, 100%, $E$13)</f>
        <v>8.4372000000000007</v>
      </c>
      <c r="C559" s="67">
        <f>8.4372 * CHOOSE(CONTROL!$C$22, $C$13, 100%, $E$13)</f>
        <v>8.4372000000000007</v>
      </c>
      <c r="D559" s="67">
        <f>8.4411 * CHOOSE(CONTROL!$C$22, $C$13, 100%, $E$13)</f>
        <v>8.4411000000000005</v>
      </c>
      <c r="E559" s="68">
        <f>9.8783 * CHOOSE(CONTROL!$C$22, $C$13, 100%, $E$13)</f>
        <v>9.8782999999999994</v>
      </c>
      <c r="F559" s="68">
        <f>9.8783 * CHOOSE(CONTROL!$C$22, $C$13, 100%, $E$13)</f>
        <v>9.8782999999999994</v>
      </c>
      <c r="G559" s="68">
        <f>9.8831 * CHOOSE(CONTROL!$C$22, $C$13, 100%, $E$13)</f>
        <v>9.8831000000000007</v>
      </c>
      <c r="H559" s="68">
        <f>15.2469* CHOOSE(CONTROL!$C$22, $C$13, 100%, $E$13)</f>
        <v>15.2469</v>
      </c>
      <c r="I559" s="68">
        <f>15.2516 * CHOOSE(CONTROL!$C$22, $C$13, 100%, $E$13)</f>
        <v>15.2516</v>
      </c>
      <c r="J559" s="68">
        <f>9.8783 * CHOOSE(CONTROL!$C$22, $C$13, 100%, $E$13)</f>
        <v>9.8782999999999994</v>
      </c>
      <c r="K559" s="68">
        <f>9.8831 * CHOOSE(CONTROL!$C$22, $C$13, 100%, $E$13)</f>
        <v>9.8831000000000007</v>
      </c>
    </row>
    <row r="560" spans="1:11" ht="15">
      <c r="A560" s="13">
        <v>58166</v>
      </c>
      <c r="B560" s="67">
        <f>8.4386 * CHOOSE(CONTROL!$C$22, $C$13, 100%, $E$13)</f>
        <v>8.4385999999999992</v>
      </c>
      <c r="C560" s="67">
        <f>8.4386 * CHOOSE(CONTROL!$C$22, $C$13, 100%, $E$13)</f>
        <v>8.4385999999999992</v>
      </c>
      <c r="D560" s="67">
        <f>8.4425 * CHOOSE(CONTROL!$C$22, $C$13, 100%, $E$13)</f>
        <v>8.4425000000000008</v>
      </c>
      <c r="E560" s="68">
        <f>10.015 * CHOOSE(CONTROL!$C$22, $C$13, 100%, $E$13)</f>
        <v>10.015000000000001</v>
      </c>
      <c r="F560" s="68">
        <f>10.015 * CHOOSE(CONTROL!$C$22, $C$13, 100%, $E$13)</f>
        <v>10.015000000000001</v>
      </c>
      <c r="G560" s="68">
        <f>10.0198 * CHOOSE(CONTROL!$C$22, $C$13, 100%, $E$13)</f>
        <v>10.0198</v>
      </c>
      <c r="H560" s="68">
        <f>15.2786* CHOOSE(CONTROL!$C$22, $C$13, 100%, $E$13)</f>
        <v>15.278600000000001</v>
      </c>
      <c r="I560" s="68">
        <f>15.2834 * CHOOSE(CONTROL!$C$22, $C$13, 100%, $E$13)</f>
        <v>15.2834</v>
      </c>
      <c r="J560" s="68">
        <f>10.015 * CHOOSE(CONTROL!$C$22, $C$13, 100%, $E$13)</f>
        <v>10.015000000000001</v>
      </c>
      <c r="K560" s="68">
        <f>10.0198 * CHOOSE(CONTROL!$C$22, $C$13, 100%, $E$13)</f>
        <v>10.0198</v>
      </c>
    </row>
    <row r="561" spans="1:11" ht="15">
      <c r="A561" s="13">
        <v>58196</v>
      </c>
      <c r="B561" s="67">
        <f>8.4386 * CHOOSE(CONTROL!$C$22, $C$13, 100%, $E$13)</f>
        <v>8.4385999999999992</v>
      </c>
      <c r="C561" s="67">
        <f>8.4386 * CHOOSE(CONTROL!$C$22, $C$13, 100%, $E$13)</f>
        <v>8.4385999999999992</v>
      </c>
      <c r="D561" s="67">
        <f>8.4441 * CHOOSE(CONTROL!$C$22, $C$13, 100%, $E$13)</f>
        <v>8.4441000000000006</v>
      </c>
      <c r="E561" s="68">
        <f>10.0679 * CHOOSE(CONTROL!$C$22, $C$13, 100%, $E$13)</f>
        <v>10.0679</v>
      </c>
      <c r="F561" s="68">
        <f>10.0679 * CHOOSE(CONTROL!$C$22, $C$13, 100%, $E$13)</f>
        <v>10.0679</v>
      </c>
      <c r="G561" s="68">
        <f>10.0746 * CHOOSE(CONTROL!$C$22, $C$13, 100%, $E$13)</f>
        <v>10.0746</v>
      </c>
      <c r="H561" s="68">
        <f>15.3105* CHOOSE(CONTROL!$C$22, $C$13, 100%, $E$13)</f>
        <v>15.310499999999999</v>
      </c>
      <c r="I561" s="68">
        <f>15.3172 * CHOOSE(CONTROL!$C$22, $C$13, 100%, $E$13)</f>
        <v>15.3172</v>
      </c>
      <c r="J561" s="68">
        <f>10.0679 * CHOOSE(CONTROL!$C$22, $C$13, 100%, $E$13)</f>
        <v>10.0679</v>
      </c>
      <c r="K561" s="68">
        <f>10.0746 * CHOOSE(CONTROL!$C$22, $C$13, 100%, $E$13)</f>
        <v>10.0746</v>
      </c>
    </row>
    <row r="562" spans="1:11" ht="15">
      <c r="A562" s="13">
        <v>58227</v>
      </c>
      <c r="B562" s="67">
        <f>8.4447 * CHOOSE(CONTROL!$C$22, $C$13, 100%, $E$13)</f>
        <v>8.4446999999999992</v>
      </c>
      <c r="C562" s="67">
        <f>8.4447 * CHOOSE(CONTROL!$C$22, $C$13, 100%, $E$13)</f>
        <v>8.4446999999999992</v>
      </c>
      <c r="D562" s="67">
        <f>8.4502 * CHOOSE(CONTROL!$C$22, $C$13, 100%, $E$13)</f>
        <v>8.4502000000000006</v>
      </c>
      <c r="E562" s="68">
        <f>10.0192 * CHOOSE(CONTROL!$C$22, $C$13, 100%, $E$13)</f>
        <v>10.0192</v>
      </c>
      <c r="F562" s="68">
        <f>10.0192 * CHOOSE(CONTROL!$C$22, $C$13, 100%, $E$13)</f>
        <v>10.0192</v>
      </c>
      <c r="G562" s="68">
        <f>10.026 * CHOOSE(CONTROL!$C$22, $C$13, 100%, $E$13)</f>
        <v>10.026</v>
      </c>
      <c r="H562" s="68">
        <f>15.3424* CHOOSE(CONTROL!$C$22, $C$13, 100%, $E$13)</f>
        <v>15.3424</v>
      </c>
      <c r="I562" s="68">
        <f>15.3491 * CHOOSE(CONTROL!$C$22, $C$13, 100%, $E$13)</f>
        <v>15.3491</v>
      </c>
      <c r="J562" s="68">
        <f>10.0192 * CHOOSE(CONTROL!$C$22, $C$13, 100%, $E$13)</f>
        <v>10.0192</v>
      </c>
      <c r="K562" s="68">
        <f>10.026 * CHOOSE(CONTROL!$C$22, $C$13, 100%, $E$13)</f>
        <v>10.026</v>
      </c>
    </row>
    <row r="563" spans="1:11" ht="15">
      <c r="A563" s="13">
        <v>58257</v>
      </c>
      <c r="B563" s="67">
        <f>8.5766 * CHOOSE(CONTROL!$C$22, $C$13, 100%, $E$13)</f>
        <v>8.5765999999999991</v>
      </c>
      <c r="C563" s="67">
        <f>8.5766 * CHOOSE(CONTROL!$C$22, $C$13, 100%, $E$13)</f>
        <v>8.5765999999999991</v>
      </c>
      <c r="D563" s="67">
        <f>8.5821 * CHOOSE(CONTROL!$C$22, $C$13, 100%, $E$13)</f>
        <v>8.5821000000000005</v>
      </c>
      <c r="E563" s="68">
        <f>10.183 * CHOOSE(CONTROL!$C$22, $C$13, 100%, $E$13)</f>
        <v>10.183</v>
      </c>
      <c r="F563" s="68">
        <f>10.183 * CHOOSE(CONTROL!$C$22, $C$13, 100%, $E$13)</f>
        <v>10.183</v>
      </c>
      <c r="G563" s="68">
        <f>10.1898 * CHOOSE(CONTROL!$C$22, $C$13, 100%, $E$13)</f>
        <v>10.1898</v>
      </c>
      <c r="H563" s="68">
        <f>15.3743* CHOOSE(CONTROL!$C$22, $C$13, 100%, $E$13)</f>
        <v>15.3743</v>
      </c>
      <c r="I563" s="68">
        <f>15.3811 * CHOOSE(CONTROL!$C$22, $C$13, 100%, $E$13)</f>
        <v>15.3811</v>
      </c>
      <c r="J563" s="68">
        <f>10.183 * CHOOSE(CONTROL!$C$22, $C$13, 100%, $E$13)</f>
        <v>10.183</v>
      </c>
      <c r="K563" s="68">
        <f>10.1898 * CHOOSE(CONTROL!$C$22, $C$13, 100%, $E$13)</f>
        <v>10.1898</v>
      </c>
    </row>
    <row r="564" spans="1:11" ht="15">
      <c r="A564" s="13">
        <v>58288</v>
      </c>
      <c r="B564" s="67">
        <f>8.5833 * CHOOSE(CONTROL!$C$22, $C$13, 100%, $E$13)</f>
        <v>8.5832999999999995</v>
      </c>
      <c r="C564" s="67">
        <f>8.5833 * CHOOSE(CONTROL!$C$22, $C$13, 100%, $E$13)</f>
        <v>8.5832999999999995</v>
      </c>
      <c r="D564" s="67">
        <f>8.5888 * CHOOSE(CONTROL!$C$22, $C$13, 100%, $E$13)</f>
        <v>8.5888000000000009</v>
      </c>
      <c r="E564" s="68">
        <f>10.0291 * CHOOSE(CONTROL!$C$22, $C$13, 100%, $E$13)</f>
        <v>10.0291</v>
      </c>
      <c r="F564" s="68">
        <f>10.0291 * CHOOSE(CONTROL!$C$22, $C$13, 100%, $E$13)</f>
        <v>10.0291</v>
      </c>
      <c r="G564" s="68">
        <f>10.0359 * CHOOSE(CONTROL!$C$22, $C$13, 100%, $E$13)</f>
        <v>10.0359</v>
      </c>
      <c r="H564" s="68">
        <f>15.4064* CHOOSE(CONTROL!$C$22, $C$13, 100%, $E$13)</f>
        <v>15.4064</v>
      </c>
      <c r="I564" s="68">
        <f>15.4131 * CHOOSE(CONTROL!$C$22, $C$13, 100%, $E$13)</f>
        <v>15.4131</v>
      </c>
      <c r="J564" s="68">
        <f>10.0291 * CHOOSE(CONTROL!$C$22, $C$13, 100%, $E$13)</f>
        <v>10.0291</v>
      </c>
      <c r="K564" s="68">
        <f>10.0359 * CHOOSE(CONTROL!$C$22, $C$13, 100%, $E$13)</f>
        <v>10.0359</v>
      </c>
    </row>
    <row r="565" spans="1:11" ht="15">
      <c r="A565" s="13">
        <v>58319</v>
      </c>
      <c r="B565" s="67">
        <f>8.5803 * CHOOSE(CONTROL!$C$22, $C$13, 100%, $E$13)</f>
        <v>8.5802999999999994</v>
      </c>
      <c r="C565" s="67">
        <f>8.5803 * CHOOSE(CONTROL!$C$22, $C$13, 100%, $E$13)</f>
        <v>8.5802999999999994</v>
      </c>
      <c r="D565" s="67">
        <f>8.5858 * CHOOSE(CONTROL!$C$22, $C$13, 100%, $E$13)</f>
        <v>8.5858000000000008</v>
      </c>
      <c r="E565" s="68">
        <f>10.0094 * CHOOSE(CONTROL!$C$22, $C$13, 100%, $E$13)</f>
        <v>10.009399999999999</v>
      </c>
      <c r="F565" s="68">
        <f>10.0094 * CHOOSE(CONTROL!$C$22, $C$13, 100%, $E$13)</f>
        <v>10.009399999999999</v>
      </c>
      <c r="G565" s="68">
        <f>10.0161 * CHOOSE(CONTROL!$C$22, $C$13, 100%, $E$13)</f>
        <v>10.0161</v>
      </c>
      <c r="H565" s="68">
        <f>15.4385* CHOOSE(CONTROL!$C$22, $C$13, 100%, $E$13)</f>
        <v>15.438499999999999</v>
      </c>
      <c r="I565" s="68">
        <f>15.4452 * CHOOSE(CONTROL!$C$22, $C$13, 100%, $E$13)</f>
        <v>15.4452</v>
      </c>
      <c r="J565" s="68">
        <f>10.0094 * CHOOSE(CONTROL!$C$22, $C$13, 100%, $E$13)</f>
        <v>10.009399999999999</v>
      </c>
      <c r="K565" s="68">
        <f>10.0161 * CHOOSE(CONTROL!$C$22, $C$13, 100%, $E$13)</f>
        <v>10.0161</v>
      </c>
    </row>
    <row r="566" spans="1:11" ht="15">
      <c r="A566" s="13">
        <v>58349</v>
      </c>
      <c r="B566" s="67">
        <f>8.5903 * CHOOSE(CONTROL!$C$22, $C$13, 100%, $E$13)</f>
        <v>8.5902999999999992</v>
      </c>
      <c r="C566" s="67">
        <f>8.5903 * CHOOSE(CONTROL!$C$22, $C$13, 100%, $E$13)</f>
        <v>8.5902999999999992</v>
      </c>
      <c r="D566" s="67">
        <f>8.5942 * CHOOSE(CONTROL!$C$22, $C$13, 100%, $E$13)</f>
        <v>8.5942000000000007</v>
      </c>
      <c r="E566" s="68">
        <f>10.0665 * CHOOSE(CONTROL!$C$22, $C$13, 100%, $E$13)</f>
        <v>10.0665</v>
      </c>
      <c r="F566" s="68">
        <f>10.0665 * CHOOSE(CONTROL!$C$22, $C$13, 100%, $E$13)</f>
        <v>10.0665</v>
      </c>
      <c r="G566" s="68">
        <f>10.0712 * CHOOSE(CONTROL!$C$22, $C$13, 100%, $E$13)</f>
        <v>10.071199999999999</v>
      </c>
      <c r="H566" s="68">
        <f>15.4706* CHOOSE(CONTROL!$C$22, $C$13, 100%, $E$13)</f>
        <v>15.470599999999999</v>
      </c>
      <c r="I566" s="68">
        <f>15.4754 * CHOOSE(CONTROL!$C$22, $C$13, 100%, $E$13)</f>
        <v>15.4754</v>
      </c>
      <c r="J566" s="68">
        <f>10.0665 * CHOOSE(CONTROL!$C$22, $C$13, 100%, $E$13)</f>
        <v>10.0665</v>
      </c>
      <c r="K566" s="68">
        <f>10.0712 * CHOOSE(CONTROL!$C$22, $C$13, 100%, $E$13)</f>
        <v>10.071199999999999</v>
      </c>
    </row>
    <row r="567" spans="1:11" ht="15">
      <c r="A567" s="13">
        <v>58380</v>
      </c>
      <c r="B567" s="67">
        <f>8.5934 * CHOOSE(CONTROL!$C$22, $C$13, 100%, $E$13)</f>
        <v>8.5934000000000008</v>
      </c>
      <c r="C567" s="67">
        <f>8.5934 * CHOOSE(CONTROL!$C$22, $C$13, 100%, $E$13)</f>
        <v>8.5934000000000008</v>
      </c>
      <c r="D567" s="67">
        <f>8.5972 * CHOOSE(CONTROL!$C$22, $C$13, 100%, $E$13)</f>
        <v>8.5972000000000008</v>
      </c>
      <c r="E567" s="68">
        <f>10.1038 * CHOOSE(CONTROL!$C$22, $C$13, 100%, $E$13)</f>
        <v>10.1038</v>
      </c>
      <c r="F567" s="68">
        <f>10.1038 * CHOOSE(CONTROL!$C$22, $C$13, 100%, $E$13)</f>
        <v>10.1038</v>
      </c>
      <c r="G567" s="68">
        <f>10.1086 * CHOOSE(CONTROL!$C$22, $C$13, 100%, $E$13)</f>
        <v>10.108599999999999</v>
      </c>
      <c r="H567" s="68">
        <f>15.5028* CHOOSE(CONTROL!$C$22, $C$13, 100%, $E$13)</f>
        <v>15.502800000000001</v>
      </c>
      <c r="I567" s="68">
        <f>15.5076 * CHOOSE(CONTROL!$C$22, $C$13, 100%, $E$13)</f>
        <v>15.5076</v>
      </c>
      <c r="J567" s="68">
        <f>10.1038 * CHOOSE(CONTROL!$C$22, $C$13, 100%, $E$13)</f>
        <v>10.1038</v>
      </c>
      <c r="K567" s="68">
        <f>10.1086 * CHOOSE(CONTROL!$C$22, $C$13, 100%, $E$13)</f>
        <v>10.108599999999999</v>
      </c>
    </row>
    <row r="568" spans="1:11" ht="15">
      <c r="A568" s="13">
        <v>58410</v>
      </c>
      <c r="B568" s="67">
        <f>8.5934 * CHOOSE(CONTROL!$C$22, $C$13, 100%, $E$13)</f>
        <v>8.5934000000000008</v>
      </c>
      <c r="C568" s="67">
        <f>8.5934 * CHOOSE(CONTROL!$C$22, $C$13, 100%, $E$13)</f>
        <v>8.5934000000000008</v>
      </c>
      <c r="D568" s="67">
        <f>8.5972 * CHOOSE(CONTROL!$C$22, $C$13, 100%, $E$13)</f>
        <v>8.5972000000000008</v>
      </c>
      <c r="E568" s="68">
        <f>10.0157 * CHOOSE(CONTROL!$C$22, $C$13, 100%, $E$13)</f>
        <v>10.015700000000001</v>
      </c>
      <c r="F568" s="68">
        <f>10.0157 * CHOOSE(CONTROL!$C$22, $C$13, 100%, $E$13)</f>
        <v>10.015700000000001</v>
      </c>
      <c r="G568" s="68">
        <f>10.0205 * CHOOSE(CONTROL!$C$22, $C$13, 100%, $E$13)</f>
        <v>10.0205</v>
      </c>
      <c r="H568" s="68">
        <f>15.5351* CHOOSE(CONTROL!$C$22, $C$13, 100%, $E$13)</f>
        <v>15.5351</v>
      </c>
      <c r="I568" s="68">
        <f>15.5399 * CHOOSE(CONTROL!$C$22, $C$13, 100%, $E$13)</f>
        <v>15.539899999999999</v>
      </c>
      <c r="J568" s="68">
        <f>10.0157 * CHOOSE(CONTROL!$C$22, $C$13, 100%, $E$13)</f>
        <v>10.015700000000001</v>
      </c>
      <c r="K568" s="68">
        <f>10.0205 * CHOOSE(CONTROL!$C$22, $C$13, 100%, $E$13)</f>
        <v>10.0205</v>
      </c>
    </row>
    <row r="569" spans="1:11" ht="15">
      <c r="A569" s="13">
        <v>58441</v>
      </c>
      <c r="B569" s="67">
        <f>8.6667 * CHOOSE(CONTROL!$C$22, $C$13, 100%, $E$13)</f>
        <v>8.6667000000000005</v>
      </c>
      <c r="C569" s="67">
        <f>8.6667 * CHOOSE(CONTROL!$C$22, $C$13, 100%, $E$13)</f>
        <v>8.6667000000000005</v>
      </c>
      <c r="D569" s="67">
        <f>8.6706 * CHOOSE(CONTROL!$C$22, $C$13, 100%, $E$13)</f>
        <v>8.6706000000000003</v>
      </c>
      <c r="E569" s="68">
        <f>10.1604 * CHOOSE(CONTROL!$C$22, $C$13, 100%, $E$13)</f>
        <v>10.160399999999999</v>
      </c>
      <c r="F569" s="68">
        <f>10.1604 * CHOOSE(CONTROL!$C$22, $C$13, 100%, $E$13)</f>
        <v>10.160399999999999</v>
      </c>
      <c r="G569" s="68">
        <f>10.1652 * CHOOSE(CONTROL!$C$22, $C$13, 100%, $E$13)</f>
        <v>10.1652</v>
      </c>
      <c r="H569" s="68">
        <f>15.5675* CHOOSE(CONTROL!$C$22, $C$13, 100%, $E$13)</f>
        <v>15.567500000000001</v>
      </c>
      <c r="I569" s="68">
        <f>15.5723 * CHOOSE(CONTROL!$C$22, $C$13, 100%, $E$13)</f>
        <v>15.5723</v>
      </c>
      <c r="J569" s="68">
        <f>10.1604 * CHOOSE(CONTROL!$C$22, $C$13, 100%, $E$13)</f>
        <v>10.160399999999999</v>
      </c>
      <c r="K569" s="68">
        <f>10.1652 * CHOOSE(CONTROL!$C$22, $C$13, 100%, $E$13)</f>
        <v>10.1652</v>
      </c>
    </row>
    <row r="570" spans="1:11" ht="15">
      <c r="A570" s="13">
        <v>58472</v>
      </c>
      <c r="B570" s="67">
        <f>8.6637 * CHOOSE(CONTROL!$C$22, $C$13, 100%, $E$13)</f>
        <v>8.6637000000000004</v>
      </c>
      <c r="C570" s="67">
        <f>8.6637 * CHOOSE(CONTROL!$C$22, $C$13, 100%, $E$13)</f>
        <v>8.6637000000000004</v>
      </c>
      <c r="D570" s="67">
        <f>8.6676 * CHOOSE(CONTROL!$C$22, $C$13, 100%, $E$13)</f>
        <v>8.6676000000000002</v>
      </c>
      <c r="E570" s="68">
        <f>9.9871 * CHOOSE(CONTROL!$C$22, $C$13, 100%, $E$13)</f>
        <v>9.9870999999999999</v>
      </c>
      <c r="F570" s="68">
        <f>9.9871 * CHOOSE(CONTROL!$C$22, $C$13, 100%, $E$13)</f>
        <v>9.9870999999999999</v>
      </c>
      <c r="G570" s="68">
        <f>9.9919 * CHOOSE(CONTROL!$C$22, $C$13, 100%, $E$13)</f>
        <v>9.9918999999999993</v>
      </c>
      <c r="H570" s="68">
        <f>15.5999* CHOOSE(CONTROL!$C$22, $C$13, 100%, $E$13)</f>
        <v>15.5999</v>
      </c>
      <c r="I570" s="68">
        <f>15.6047 * CHOOSE(CONTROL!$C$22, $C$13, 100%, $E$13)</f>
        <v>15.604699999999999</v>
      </c>
      <c r="J570" s="68">
        <f>9.9871 * CHOOSE(CONTROL!$C$22, $C$13, 100%, $E$13)</f>
        <v>9.9870999999999999</v>
      </c>
      <c r="K570" s="68">
        <f>9.9919 * CHOOSE(CONTROL!$C$22, $C$13, 100%, $E$13)</f>
        <v>9.9918999999999993</v>
      </c>
    </row>
    <row r="571" spans="1:11" ht="15">
      <c r="A571" s="13">
        <v>58501</v>
      </c>
      <c r="B571" s="67">
        <f>8.6607 * CHOOSE(CONTROL!$C$22, $C$13, 100%, $E$13)</f>
        <v>8.6607000000000003</v>
      </c>
      <c r="C571" s="67">
        <f>8.6607 * CHOOSE(CONTROL!$C$22, $C$13, 100%, $E$13)</f>
        <v>8.6607000000000003</v>
      </c>
      <c r="D571" s="67">
        <f>8.6645 * CHOOSE(CONTROL!$C$22, $C$13, 100%, $E$13)</f>
        <v>8.6645000000000003</v>
      </c>
      <c r="E571" s="68">
        <f>10.1199 * CHOOSE(CONTROL!$C$22, $C$13, 100%, $E$13)</f>
        <v>10.119899999999999</v>
      </c>
      <c r="F571" s="68">
        <f>10.1199 * CHOOSE(CONTROL!$C$22, $C$13, 100%, $E$13)</f>
        <v>10.119899999999999</v>
      </c>
      <c r="G571" s="68">
        <f>10.1247 * CHOOSE(CONTROL!$C$22, $C$13, 100%, $E$13)</f>
        <v>10.124700000000001</v>
      </c>
      <c r="H571" s="68">
        <f>15.6324* CHOOSE(CONTROL!$C$22, $C$13, 100%, $E$13)</f>
        <v>15.632400000000001</v>
      </c>
      <c r="I571" s="68">
        <f>15.6372 * CHOOSE(CONTROL!$C$22, $C$13, 100%, $E$13)</f>
        <v>15.6372</v>
      </c>
      <c r="J571" s="68">
        <f>10.1199 * CHOOSE(CONTROL!$C$22, $C$13, 100%, $E$13)</f>
        <v>10.119899999999999</v>
      </c>
      <c r="K571" s="68">
        <f>10.1247 * CHOOSE(CONTROL!$C$22, $C$13, 100%, $E$13)</f>
        <v>10.124700000000001</v>
      </c>
    </row>
    <row r="572" spans="1:11" ht="15">
      <c r="A572" s="13">
        <v>58532</v>
      </c>
      <c r="B572" s="67">
        <f>8.6623 * CHOOSE(CONTROL!$C$22, $C$13, 100%, $E$13)</f>
        <v>8.6623000000000001</v>
      </c>
      <c r="C572" s="67">
        <f>8.6623 * CHOOSE(CONTROL!$C$22, $C$13, 100%, $E$13)</f>
        <v>8.6623000000000001</v>
      </c>
      <c r="D572" s="67">
        <f>8.6661 * CHOOSE(CONTROL!$C$22, $C$13, 100%, $E$13)</f>
        <v>8.6661000000000001</v>
      </c>
      <c r="E572" s="68">
        <f>10.2606 * CHOOSE(CONTROL!$C$22, $C$13, 100%, $E$13)</f>
        <v>10.2606</v>
      </c>
      <c r="F572" s="68">
        <f>10.2606 * CHOOSE(CONTROL!$C$22, $C$13, 100%, $E$13)</f>
        <v>10.2606</v>
      </c>
      <c r="G572" s="68">
        <f>10.2654 * CHOOSE(CONTROL!$C$22, $C$13, 100%, $E$13)</f>
        <v>10.2654</v>
      </c>
      <c r="H572" s="68">
        <f>15.665* CHOOSE(CONTROL!$C$22, $C$13, 100%, $E$13)</f>
        <v>15.664999999999999</v>
      </c>
      <c r="I572" s="68">
        <f>15.6698 * CHOOSE(CONTROL!$C$22, $C$13, 100%, $E$13)</f>
        <v>15.6698</v>
      </c>
      <c r="J572" s="68">
        <f>10.2606 * CHOOSE(CONTROL!$C$22, $C$13, 100%, $E$13)</f>
        <v>10.2606</v>
      </c>
      <c r="K572" s="68">
        <f>10.2654 * CHOOSE(CONTROL!$C$22, $C$13, 100%, $E$13)</f>
        <v>10.2654</v>
      </c>
    </row>
    <row r="573" spans="1:11" ht="15">
      <c r="A573" s="13">
        <v>58562</v>
      </c>
      <c r="B573" s="67">
        <f>8.6623 * CHOOSE(CONTROL!$C$22, $C$13, 100%, $E$13)</f>
        <v>8.6623000000000001</v>
      </c>
      <c r="C573" s="67">
        <f>8.6623 * CHOOSE(CONTROL!$C$22, $C$13, 100%, $E$13)</f>
        <v>8.6623000000000001</v>
      </c>
      <c r="D573" s="67">
        <f>8.6678 * CHOOSE(CONTROL!$C$22, $C$13, 100%, $E$13)</f>
        <v>8.6677999999999997</v>
      </c>
      <c r="E573" s="68">
        <f>10.315 * CHOOSE(CONTROL!$C$22, $C$13, 100%, $E$13)</f>
        <v>10.315</v>
      </c>
      <c r="F573" s="68">
        <f>10.315 * CHOOSE(CONTROL!$C$22, $C$13, 100%, $E$13)</f>
        <v>10.315</v>
      </c>
      <c r="G573" s="68">
        <f>10.3217 * CHOOSE(CONTROL!$C$22, $C$13, 100%, $E$13)</f>
        <v>10.3217</v>
      </c>
      <c r="H573" s="68">
        <f>15.6976* CHOOSE(CONTROL!$C$22, $C$13, 100%, $E$13)</f>
        <v>15.6976</v>
      </c>
      <c r="I573" s="68">
        <f>15.7044 * CHOOSE(CONTROL!$C$22, $C$13, 100%, $E$13)</f>
        <v>15.7044</v>
      </c>
      <c r="J573" s="68">
        <f>10.315 * CHOOSE(CONTROL!$C$22, $C$13, 100%, $E$13)</f>
        <v>10.315</v>
      </c>
      <c r="K573" s="68">
        <f>10.3217 * CHOOSE(CONTROL!$C$22, $C$13, 100%, $E$13)</f>
        <v>10.3217</v>
      </c>
    </row>
    <row r="574" spans="1:11" ht="15">
      <c r="A574" s="13">
        <v>58593</v>
      </c>
      <c r="B574" s="67">
        <f>8.6684 * CHOOSE(CONTROL!$C$22, $C$13, 100%, $E$13)</f>
        <v>8.6684000000000001</v>
      </c>
      <c r="C574" s="67">
        <f>8.6684 * CHOOSE(CONTROL!$C$22, $C$13, 100%, $E$13)</f>
        <v>8.6684000000000001</v>
      </c>
      <c r="D574" s="67">
        <f>8.6739 * CHOOSE(CONTROL!$C$22, $C$13, 100%, $E$13)</f>
        <v>8.6738999999999997</v>
      </c>
      <c r="E574" s="68">
        <f>10.2649 * CHOOSE(CONTROL!$C$22, $C$13, 100%, $E$13)</f>
        <v>10.264900000000001</v>
      </c>
      <c r="F574" s="68">
        <f>10.2649 * CHOOSE(CONTROL!$C$22, $C$13, 100%, $E$13)</f>
        <v>10.264900000000001</v>
      </c>
      <c r="G574" s="68">
        <f>10.2716 * CHOOSE(CONTROL!$C$22, $C$13, 100%, $E$13)</f>
        <v>10.271599999999999</v>
      </c>
      <c r="H574" s="68">
        <f>15.7303* CHOOSE(CONTROL!$C$22, $C$13, 100%, $E$13)</f>
        <v>15.7303</v>
      </c>
      <c r="I574" s="68">
        <f>15.7371 * CHOOSE(CONTROL!$C$22, $C$13, 100%, $E$13)</f>
        <v>15.7371</v>
      </c>
      <c r="J574" s="68">
        <f>10.2649 * CHOOSE(CONTROL!$C$22, $C$13, 100%, $E$13)</f>
        <v>10.264900000000001</v>
      </c>
      <c r="K574" s="68">
        <f>10.2716 * CHOOSE(CONTROL!$C$22, $C$13, 100%, $E$13)</f>
        <v>10.271599999999999</v>
      </c>
    </row>
    <row r="575" spans="1:11" ht="15">
      <c r="A575" s="13">
        <v>58623</v>
      </c>
      <c r="B575" s="67">
        <f>8.8035 * CHOOSE(CONTROL!$C$22, $C$13, 100%, $E$13)</f>
        <v>8.8034999999999997</v>
      </c>
      <c r="C575" s="67">
        <f>8.8035 * CHOOSE(CONTROL!$C$22, $C$13, 100%, $E$13)</f>
        <v>8.8034999999999997</v>
      </c>
      <c r="D575" s="67">
        <f>8.809 * CHOOSE(CONTROL!$C$22, $C$13, 100%, $E$13)</f>
        <v>8.8089999999999993</v>
      </c>
      <c r="E575" s="68">
        <f>10.4324 * CHOOSE(CONTROL!$C$22, $C$13, 100%, $E$13)</f>
        <v>10.432399999999999</v>
      </c>
      <c r="F575" s="68">
        <f>10.4324 * CHOOSE(CONTROL!$C$22, $C$13, 100%, $E$13)</f>
        <v>10.432399999999999</v>
      </c>
      <c r="G575" s="68">
        <f>10.4391 * CHOOSE(CONTROL!$C$22, $C$13, 100%, $E$13)</f>
        <v>10.4391</v>
      </c>
      <c r="H575" s="68">
        <f>15.7631* CHOOSE(CONTROL!$C$22, $C$13, 100%, $E$13)</f>
        <v>15.7631</v>
      </c>
      <c r="I575" s="68">
        <f>15.7699 * CHOOSE(CONTROL!$C$22, $C$13, 100%, $E$13)</f>
        <v>15.7699</v>
      </c>
      <c r="J575" s="68">
        <f>10.4324 * CHOOSE(CONTROL!$C$22, $C$13, 100%, $E$13)</f>
        <v>10.432399999999999</v>
      </c>
      <c r="K575" s="68">
        <f>10.4391 * CHOOSE(CONTROL!$C$22, $C$13, 100%, $E$13)</f>
        <v>10.4391</v>
      </c>
    </row>
    <row r="576" spans="1:11" ht="15">
      <c r="A576" s="13">
        <v>58654</v>
      </c>
      <c r="B576" s="67">
        <f>8.8102 * CHOOSE(CONTROL!$C$22, $C$13, 100%, $E$13)</f>
        <v>8.8102</v>
      </c>
      <c r="C576" s="67">
        <f>8.8102 * CHOOSE(CONTROL!$C$22, $C$13, 100%, $E$13)</f>
        <v>8.8102</v>
      </c>
      <c r="D576" s="67">
        <f>8.8157 * CHOOSE(CONTROL!$C$22, $C$13, 100%, $E$13)</f>
        <v>8.8156999999999996</v>
      </c>
      <c r="E576" s="68">
        <f>10.274 * CHOOSE(CONTROL!$C$22, $C$13, 100%, $E$13)</f>
        <v>10.273999999999999</v>
      </c>
      <c r="F576" s="68">
        <f>10.274 * CHOOSE(CONTROL!$C$22, $C$13, 100%, $E$13)</f>
        <v>10.273999999999999</v>
      </c>
      <c r="G576" s="68">
        <f>10.2808 * CHOOSE(CONTROL!$C$22, $C$13, 100%, $E$13)</f>
        <v>10.280799999999999</v>
      </c>
      <c r="H576" s="68">
        <f>15.796* CHOOSE(CONTROL!$C$22, $C$13, 100%, $E$13)</f>
        <v>15.795999999999999</v>
      </c>
      <c r="I576" s="68">
        <f>15.8027 * CHOOSE(CONTROL!$C$22, $C$13, 100%, $E$13)</f>
        <v>15.8027</v>
      </c>
      <c r="J576" s="68">
        <f>10.274 * CHOOSE(CONTROL!$C$22, $C$13, 100%, $E$13)</f>
        <v>10.273999999999999</v>
      </c>
      <c r="K576" s="68">
        <f>10.2808 * CHOOSE(CONTROL!$C$22, $C$13, 100%, $E$13)</f>
        <v>10.280799999999999</v>
      </c>
    </row>
    <row r="577" spans="1:11" ht="15">
      <c r="A577" s="13">
        <v>58685</v>
      </c>
      <c r="B577" s="67">
        <f>8.8072 * CHOOSE(CONTROL!$C$22, $C$13, 100%, $E$13)</f>
        <v>8.8071999999999999</v>
      </c>
      <c r="C577" s="67">
        <f>8.8072 * CHOOSE(CONTROL!$C$22, $C$13, 100%, $E$13)</f>
        <v>8.8071999999999999</v>
      </c>
      <c r="D577" s="67">
        <f>8.8127 * CHOOSE(CONTROL!$C$22, $C$13, 100%, $E$13)</f>
        <v>8.8126999999999995</v>
      </c>
      <c r="E577" s="68">
        <f>10.2538 * CHOOSE(CONTROL!$C$22, $C$13, 100%, $E$13)</f>
        <v>10.2538</v>
      </c>
      <c r="F577" s="68">
        <f>10.2538 * CHOOSE(CONTROL!$C$22, $C$13, 100%, $E$13)</f>
        <v>10.2538</v>
      </c>
      <c r="G577" s="68">
        <f>10.2605 * CHOOSE(CONTROL!$C$22, $C$13, 100%, $E$13)</f>
        <v>10.2605</v>
      </c>
      <c r="H577" s="68">
        <f>15.8289* CHOOSE(CONTROL!$C$22, $C$13, 100%, $E$13)</f>
        <v>15.828900000000001</v>
      </c>
      <c r="I577" s="68">
        <f>15.8356 * CHOOSE(CONTROL!$C$22, $C$13, 100%, $E$13)</f>
        <v>15.835599999999999</v>
      </c>
      <c r="J577" s="68">
        <f>10.2538 * CHOOSE(CONTROL!$C$22, $C$13, 100%, $E$13)</f>
        <v>10.2538</v>
      </c>
      <c r="K577" s="68">
        <f>10.2605 * CHOOSE(CONTROL!$C$22, $C$13, 100%, $E$13)</f>
        <v>10.2605</v>
      </c>
    </row>
    <row r="578" spans="1:11" ht="15">
      <c r="A578" s="13">
        <v>58715</v>
      </c>
      <c r="B578" s="67">
        <f>8.8179 * CHOOSE(CONTROL!$C$22, $C$13, 100%, $E$13)</f>
        <v>8.8178999999999998</v>
      </c>
      <c r="C578" s="67">
        <f>8.8179 * CHOOSE(CONTROL!$C$22, $C$13, 100%, $E$13)</f>
        <v>8.8178999999999998</v>
      </c>
      <c r="D578" s="67">
        <f>8.8218 * CHOOSE(CONTROL!$C$22, $C$13, 100%, $E$13)</f>
        <v>8.8217999999999996</v>
      </c>
      <c r="E578" s="68">
        <f>10.3128 * CHOOSE(CONTROL!$C$22, $C$13, 100%, $E$13)</f>
        <v>10.312799999999999</v>
      </c>
      <c r="F578" s="68">
        <f>10.3128 * CHOOSE(CONTROL!$C$22, $C$13, 100%, $E$13)</f>
        <v>10.312799999999999</v>
      </c>
      <c r="G578" s="68">
        <f>10.3176 * CHOOSE(CONTROL!$C$22, $C$13, 100%, $E$13)</f>
        <v>10.317600000000001</v>
      </c>
      <c r="H578" s="68">
        <f>15.8618* CHOOSE(CONTROL!$C$22, $C$13, 100%, $E$13)</f>
        <v>15.861800000000001</v>
      </c>
      <c r="I578" s="68">
        <f>15.8666 * CHOOSE(CONTROL!$C$22, $C$13, 100%, $E$13)</f>
        <v>15.8666</v>
      </c>
      <c r="J578" s="68">
        <f>10.3128 * CHOOSE(CONTROL!$C$22, $C$13, 100%, $E$13)</f>
        <v>10.312799999999999</v>
      </c>
      <c r="K578" s="68">
        <f>10.3176 * CHOOSE(CONTROL!$C$22, $C$13, 100%, $E$13)</f>
        <v>10.317600000000001</v>
      </c>
    </row>
    <row r="579" spans="1:11" ht="15">
      <c r="A579" s="13">
        <v>58746</v>
      </c>
      <c r="B579" s="67">
        <f>8.821 * CHOOSE(CONTROL!$C$22, $C$13, 100%, $E$13)</f>
        <v>8.8209999999999997</v>
      </c>
      <c r="C579" s="67">
        <f>8.821 * CHOOSE(CONTROL!$C$22, $C$13, 100%, $E$13)</f>
        <v>8.8209999999999997</v>
      </c>
      <c r="D579" s="67">
        <f>8.8248 * CHOOSE(CONTROL!$C$22, $C$13, 100%, $E$13)</f>
        <v>8.8247999999999998</v>
      </c>
      <c r="E579" s="68">
        <f>10.3512 * CHOOSE(CONTROL!$C$22, $C$13, 100%, $E$13)</f>
        <v>10.3512</v>
      </c>
      <c r="F579" s="68">
        <f>10.3512 * CHOOSE(CONTROL!$C$22, $C$13, 100%, $E$13)</f>
        <v>10.3512</v>
      </c>
      <c r="G579" s="68">
        <f>10.3559 * CHOOSE(CONTROL!$C$22, $C$13, 100%, $E$13)</f>
        <v>10.3559</v>
      </c>
      <c r="H579" s="68">
        <f>15.8949* CHOOSE(CONTROL!$C$22, $C$13, 100%, $E$13)</f>
        <v>15.8949</v>
      </c>
      <c r="I579" s="68">
        <f>15.8997 * CHOOSE(CONTROL!$C$22, $C$13, 100%, $E$13)</f>
        <v>15.899699999999999</v>
      </c>
      <c r="J579" s="68">
        <f>10.3512 * CHOOSE(CONTROL!$C$22, $C$13, 100%, $E$13)</f>
        <v>10.3512</v>
      </c>
      <c r="K579" s="68">
        <f>10.3559 * CHOOSE(CONTROL!$C$22, $C$13, 100%, $E$13)</f>
        <v>10.3559</v>
      </c>
    </row>
    <row r="580" spans="1:11" ht="15">
      <c r="A580" s="13">
        <v>58776</v>
      </c>
      <c r="B580" s="67">
        <f>8.821 * CHOOSE(CONTROL!$C$22, $C$13, 100%, $E$13)</f>
        <v>8.8209999999999997</v>
      </c>
      <c r="C580" s="67">
        <f>8.821 * CHOOSE(CONTROL!$C$22, $C$13, 100%, $E$13)</f>
        <v>8.8209999999999997</v>
      </c>
      <c r="D580" s="67">
        <f>8.8248 * CHOOSE(CONTROL!$C$22, $C$13, 100%, $E$13)</f>
        <v>8.8247999999999998</v>
      </c>
      <c r="E580" s="68">
        <f>10.2606 * CHOOSE(CONTROL!$C$22, $C$13, 100%, $E$13)</f>
        <v>10.2606</v>
      </c>
      <c r="F580" s="68">
        <f>10.2606 * CHOOSE(CONTROL!$C$22, $C$13, 100%, $E$13)</f>
        <v>10.2606</v>
      </c>
      <c r="G580" s="68">
        <f>10.2654 * CHOOSE(CONTROL!$C$22, $C$13, 100%, $E$13)</f>
        <v>10.2654</v>
      </c>
      <c r="H580" s="68">
        <f>15.928* CHOOSE(CONTROL!$C$22, $C$13, 100%, $E$13)</f>
        <v>15.928000000000001</v>
      </c>
      <c r="I580" s="68">
        <f>15.9328 * CHOOSE(CONTROL!$C$22, $C$13, 100%, $E$13)</f>
        <v>15.9328</v>
      </c>
      <c r="J580" s="68">
        <f>10.2606 * CHOOSE(CONTROL!$C$22, $C$13, 100%, $E$13)</f>
        <v>10.2606</v>
      </c>
      <c r="K580" s="68">
        <f>10.2654 * CHOOSE(CONTROL!$C$22, $C$13, 100%, $E$13)</f>
        <v>10.2654</v>
      </c>
    </row>
    <row r="581" spans="1:11" ht="15">
      <c r="A581" s="13">
        <v>58807</v>
      </c>
      <c r="B581" s="67">
        <f>8.8962 * CHOOSE(CONTROL!$C$22, $C$13, 100%, $E$13)</f>
        <v>8.8962000000000003</v>
      </c>
      <c r="C581" s="67">
        <f>8.8962 * CHOOSE(CONTROL!$C$22, $C$13, 100%, $E$13)</f>
        <v>8.8962000000000003</v>
      </c>
      <c r="D581" s="67">
        <f>8.9 * CHOOSE(CONTROL!$C$22, $C$13, 100%, $E$13)</f>
        <v>8.9</v>
      </c>
      <c r="E581" s="68">
        <f>10.409 * CHOOSE(CONTROL!$C$22, $C$13, 100%, $E$13)</f>
        <v>10.409000000000001</v>
      </c>
      <c r="F581" s="68">
        <f>10.409 * CHOOSE(CONTROL!$C$22, $C$13, 100%, $E$13)</f>
        <v>10.409000000000001</v>
      </c>
      <c r="G581" s="68">
        <f>10.4138 * CHOOSE(CONTROL!$C$22, $C$13, 100%, $E$13)</f>
        <v>10.4138</v>
      </c>
      <c r="H581" s="68">
        <f>15.9612* CHOOSE(CONTROL!$C$22, $C$13, 100%, $E$13)</f>
        <v>15.9612</v>
      </c>
      <c r="I581" s="68">
        <f>15.966 * CHOOSE(CONTROL!$C$22, $C$13, 100%, $E$13)</f>
        <v>15.965999999999999</v>
      </c>
      <c r="J581" s="68">
        <f>10.409 * CHOOSE(CONTROL!$C$22, $C$13, 100%, $E$13)</f>
        <v>10.409000000000001</v>
      </c>
      <c r="K581" s="68">
        <f>10.4138 * CHOOSE(CONTROL!$C$22, $C$13, 100%, $E$13)</f>
        <v>10.4138</v>
      </c>
    </row>
    <row r="582" spans="1:11" ht="15">
      <c r="A582" s="13">
        <v>58838</v>
      </c>
      <c r="B582" s="67">
        <f>8.8931 * CHOOSE(CONTROL!$C$22, $C$13, 100%, $E$13)</f>
        <v>8.8931000000000004</v>
      </c>
      <c r="C582" s="67">
        <f>8.8931 * CHOOSE(CONTROL!$C$22, $C$13, 100%, $E$13)</f>
        <v>8.8931000000000004</v>
      </c>
      <c r="D582" s="67">
        <f>8.897 * CHOOSE(CONTROL!$C$22, $C$13, 100%, $E$13)</f>
        <v>8.8970000000000002</v>
      </c>
      <c r="E582" s="68">
        <f>10.2309 * CHOOSE(CONTROL!$C$22, $C$13, 100%, $E$13)</f>
        <v>10.2309</v>
      </c>
      <c r="F582" s="68">
        <f>10.2309 * CHOOSE(CONTROL!$C$22, $C$13, 100%, $E$13)</f>
        <v>10.2309</v>
      </c>
      <c r="G582" s="68">
        <f>10.2357 * CHOOSE(CONTROL!$C$22, $C$13, 100%, $E$13)</f>
        <v>10.2357</v>
      </c>
      <c r="H582" s="68">
        <f>15.9944* CHOOSE(CONTROL!$C$22, $C$13, 100%, $E$13)</f>
        <v>15.994400000000001</v>
      </c>
      <c r="I582" s="68">
        <f>15.9992 * CHOOSE(CONTROL!$C$22, $C$13, 100%, $E$13)</f>
        <v>15.9992</v>
      </c>
      <c r="J582" s="68">
        <f>10.2309 * CHOOSE(CONTROL!$C$22, $C$13, 100%, $E$13)</f>
        <v>10.2309</v>
      </c>
      <c r="K582" s="68">
        <f>10.2357 * CHOOSE(CONTROL!$C$22, $C$13, 100%, $E$13)</f>
        <v>10.2357</v>
      </c>
    </row>
    <row r="583" spans="1:11" ht="15">
      <c r="A583" s="13">
        <v>58866</v>
      </c>
      <c r="B583" s="67">
        <f>8.8901 * CHOOSE(CONTROL!$C$22, $C$13, 100%, $E$13)</f>
        <v>8.8901000000000003</v>
      </c>
      <c r="C583" s="67">
        <f>8.8901 * CHOOSE(CONTROL!$C$22, $C$13, 100%, $E$13)</f>
        <v>8.8901000000000003</v>
      </c>
      <c r="D583" s="67">
        <f>8.894 * CHOOSE(CONTROL!$C$22, $C$13, 100%, $E$13)</f>
        <v>8.8940000000000001</v>
      </c>
      <c r="E583" s="68">
        <f>10.3675 * CHOOSE(CONTROL!$C$22, $C$13, 100%, $E$13)</f>
        <v>10.3675</v>
      </c>
      <c r="F583" s="68">
        <f>10.3675 * CHOOSE(CONTROL!$C$22, $C$13, 100%, $E$13)</f>
        <v>10.3675</v>
      </c>
      <c r="G583" s="68">
        <f>10.3723 * CHOOSE(CONTROL!$C$22, $C$13, 100%, $E$13)</f>
        <v>10.372299999999999</v>
      </c>
      <c r="H583" s="68">
        <f>16.0278* CHOOSE(CONTROL!$C$22, $C$13, 100%, $E$13)</f>
        <v>16.027799999999999</v>
      </c>
      <c r="I583" s="68">
        <f>16.0325 * CHOOSE(CONTROL!$C$22, $C$13, 100%, $E$13)</f>
        <v>16.032499999999999</v>
      </c>
      <c r="J583" s="68">
        <f>10.3675 * CHOOSE(CONTROL!$C$22, $C$13, 100%, $E$13)</f>
        <v>10.3675</v>
      </c>
      <c r="K583" s="68">
        <f>10.3723 * CHOOSE(CONTROL!$C$22, $C$13, 100%, $E$13)</f>
        <v>10.372299999999999</v>
      </c>
    </row>
    <row r="584" spans="1:11" ht="15">
      <c r="A584" s="13">
        <v>58897</v>
      </c>
      <c r="B584" s="67">
        <f>8.8919 * CHOOSE(CONTROL!$C$22, $C$13, 100%, $E$13)</f>
        <v>8.8918999999999997</v>
      </c>
      <c r="C584" s="67">
        <f>8.8919 * CHOOSE(CONTROL!$C$22, $C$13, 100%, $E$13)</f>
        <v>8.8918999999999997</v>
      </c>
      <c r="D584" s="67">
        <f>8.8958 * CHOOSE(CONTROL!$C$22, $C$13, 100%, $E$13)</f>
        <v>8.8957999999999995</v>
      </c>
      <c r="E584" s="68">
        <f>10.5123 * CHOOSE(CONTROL!$C$22, $C$13, 100%, $E$13)</f>
        <v>10.5123</v>
      </c>
      <c r="F584" s="68">
        <f>10.5123 * CHOOSE(CONTROL!$C$22, $C$13, 100%, $E$13)</f>
        <v>10.5123</v>
      </c>
      <c r="G584" s="68">
        <f>10.517 * CHOOSE(CONTROL!$C$22, $C$13, 100%, $E$13)</f>
        <v>10.516999999999999</v>
      </c>
      <c r="H584" s="68">
        <f>16.0612* CHOOSE(CONTROL!$C$22, $C$13, 100%, $E$13)</f>
        <v>16.061199999999999</v>
      </c>
      <c r="I584" s="68">
        <f>16.0659 * CHOOSE(CONTROL!$C$22, $C$13, 100%, $E$13)</f>
        <v>16.065899999999999</v>
      </c>
      <c r="J584" s="68">
        <f>10.5123 * CHOOSE(CONTROL!$C$22, $C$13, 100%, $E$13)</f>
        <v>10.5123</v>
      </c>
      <c r="K584" s="68">
        <f>10.517 * CHOOSE(CONTROL!$C$22, $C$13, 100%, $E$13)</f>
        <v>10.516999999999999</v>
      </c>
    </row>
    <row r="585" spans="1:11" ht="15">
      <c r="A585" s="13">
        <v>58927</v>
      </c>
      <c r="B585" s="67">
        <f>8.8919 * CHOOSE(CONTROL!$C$22, $C$13, 100%, $E$13)</f>
        <v>8.8918999999999997</v>
      </c>
      <c r="C585" s="67">
        <f>8.8919 * CHOOSE(CONTROL!$C$22, $C$13, 100%, $E$13)</f>
        <v>8.8918999999999997</v>
      </c>
      <c r="D585" s="67">
        <f>8.8974 * CHOOSE(CONTROL!$C$22, $C$13, 100%, $E$13)</f>
        <v>8.8973999999999993</v>
      </c>
      <c r="E585" s="68">
        <f>10.5681 * CHOOSE(CONTROL!$C$22, $C$13, 100%, $E$13)</f>
        <v>10.568099999999999</v>
      </c>
      <c r="F585" s="68">
        <f>10.5681 * CHOOSE(CONTROL!$C$22, $C$13, 100%, $E$13)</f>
        <v>10.568099999999999</v>
      </c>
      <c r="G585" s="68">
        <f>10.5749 * CHOOSE(CONTROL!$C$22, $C$13, 100%, $E$13)</f>
        <v>10.5749</v>
      </c>
      <c r="H585" s="68">
        <f>16.0946* CHOOSE(CONTROL!$C$22, $C$13, 100%, $E$13)</f>
        <v>16.0946</v>
      </c>
      <c r="I585" s="68">
        <f>16.1014 * CHOOSE(CONTROL!$C$22, $C$13, 100%, $E$13)</f>
        <v>16.101400000000002</v>
      </c>
      <c r="J585" s="68">
        <f>10.5681 * CHOOSE(CONTROL!$C$22, $C$13, 100%, $E$13)</f>
        <v>10.568099999999999</v>
      </c>
      <c r="K585" s="68">
        <f>10.5749 * CHOOSE(CONTROL!$C$22, $C$13, 100%, $E$13)</f>
        <v>10.5749</v>
      </c>
    </row>
    <row r="586" spans="1:11" ht="15">
      <c r="A586" s="13">
        <v>58958</v>
      </c>
      <c r="B586" s="67">
        <f>8.898 * CHOOSE(CONTROL!$C$22, $C$13, 100%, $E$13)</f>
        <v>8.8979999999999997</v>
      </c>
      <c r="C586" s="67">
        <f>8.898 * CHOOSE(CONTROL!$C$22, $C$13, 100%, $E$13)</f>
        <v>8.8979999999999997</v>
      </c>
      <c r="D586" s="67">
        <f>8.9035 * CHOOSE(CONTROL!$C$22, $C$13, 100%, $E$13)</f>
        <v>8.9034999999999993</v>
      </c>
      <c r="E586" s="68">
        <f>10.5165 * CHOOSE(CONTROL!$C$22, $C$13, 100%, $E$13)</f>
        <v>10.516500000000001</v>
      </c>
      <c r="F586" s="68">
        <f>10.5165 * CHOOSE(CONTROL!$C$22, $C$13, 100%, $E$13)</f>
        <v>10.516500000000001</v>
      </c>
      <c r="G586" s="68">
        <f>10.5233 * CHOOSE(CONTROL!$C$22, $C$13, 100%, $E$13)</f>
        <v>10.523300000000001</v>
      </c>
      <c r="H586" s="68">
        <f>16.1281* CHOOSE(CONTROL!$C$22, $C$13, 100%, $E$13)</f>
        <v>16.1281</v>
      </c>
      <c r="I586" s="68">
        <f>16.1349 * CHOOSE(CONTROL!$C$22, $C$13, 100%, $E$13)</f>
        <v>16.134899999999998</v>
      </c>
      <c r="J586" s="68">
        <f>10.5165 * CHOOSE(CONTROL!$C$22, $C$13, 100%, $E$13)</f>
        <v>10.516500000000001</v>
      </c>
      <c r="K586" s="68">
        <f>10.5233 * CHOOSE(CONTROL!$C$22, $C$13, 100%, $E$13)</f>
        <v>10.523300000000001</v>
      </c>
    </row>
    <row r="587" spans="1:11" ht="15">
      <c r="A587" s="13">
        <v>58988</v>
      </c>
      <c r="B587" s="67">
        <f>9.0365 * CHOOSE(CONTROL!$C$22, $C$13, 100%, $E$13)</f>
        <v>9.0365000000000002</v>
      </c>
      <c r="C587" s="67">
        <f>9.0365 * CHOOSE(CONTROL!$C$22, $C$13, 100%, $E$13)</f>
        <v>9.0365000000000002</v>
      </c>
      <c r="D587" s="67">
        <f>9.042 * CHOOSE(CONTROL!$C$22, $C$13, 100%, $E$13)</f>
        <v>9.0419999999999998</v>
      </c>
      <c r="E587" s="68">
        <f>10.6879 * CHOOSE(CONTROL!$C$22, $C$13, 100%, $E$13)</f>
        <v>10.687900000000001</v>
      </c>
      <c r="F587" s="68">
        <f>10.6879 * CHOOSE(CONTROL!$C$22, $C$13, 100%, $E$13)</f>
        <v>10.687900000000001</v>
      </c>
      <c r="G587" s="68">
        <f>10.6946 * CHOOSE(CONTROL!$C$22, $C$13, 100%, $E$13)</f>
        <v>10.694599999999999</v>
      </c>
      <c r="H587" s="68">
        <f>16.1617* CHOOSE(CONTROL!$C$22, $C$13, 100%, $E$13)</f>
        <v>16.1617</v>
      </c>
      <c r="I587" s="68">
        <f>16.1685 * CHOOSE(CONTROL!$C$22, $C$13, 100%, $E$13)</f>
        <v>16.168500000000002</v>
      </c>
      <c r="J587" s="68">
        <f>10.6879 * CHOOSE(CONTROL!$C$22, $C$13, 100%, $E$13)</f>
        <v>10.687900000000001</v>
      </c>
      <c r="K587" s="68">
        <f>10.6946 * CHOOSE(CONTROL!$C$22, $C$13, 100%, $E$13)</f>
        <v>10.694599999999999</v>
      </c>
    </row>
    <row r="588" spans="1:11" ht="15">
      <c r="A588" s="13">
        <v>59019</v>
      </c>
      <c r="B588" s="67">
        <f>9.0432 * CHOOSE(CONTROL!$C$22, $C$13, 100%, $E$13)</f>
        <v>9.0432000000000006</v>
      </c>
      <c r="C588" s="67">
        <f>9.0432 * CHOOSE(CONTROL!$C$22, $C$13, 100%, $E$13)</f>
        <v>9.0432000000000006</v>
      </c>
      <c r="D588" s="67">
        <f>9.0487 * CHOOSE(CONTROL!$C$22, $C$13, 100%, $E$13)</f>
        <v>9.0487000000000002</v>
      </c>
      <c r="E588" s="68">
        <f>10.5249 * CHOOSE(CONTROL!$C$22, $C$13, 100%, $E$13)</f>
        <v>10.524900000000001</v>
      </c>
      <c r="F588" s="68">
        <f>10.5249 * CHOOSE(CONTROL!$C$22, $C$13, 100%, $E$13)</f>
        <v>10.524900000000001</v>
      </c>
      <c r="G588" s="68">
        <f>10.5317 * CHOOSE(CONTROL!$C$22, $C$13, 100%, $E$13)</f>
        <v>10.531700000000001</v>
      </c>
      <c r="H588" s="68">
        <f>16.1954* CHOOSE(CONTROL!$C$22, $C$13, 100%, $E$13)</f>
        <v>16.195399999999999</v>
      </c>
      <c r="I588" s="68">
        <f>16.2022 * CHOOSE(CONTROL!$C$22, $C$13, 100%, $E$13)</f>
        <v>16.202200000000001</v>
      </c>
      <c r="J588" s="68">
        <f>10.5249 * CHOOSE(CONTROL!$C$22, $C$13, 100%, $E$13)</f>
        <v>10.524900000000001</v>
      </c>
      <c r="K588" s="68">
        <f>10.5317 * CHOOSE(CONTROL!$C$22, $C$13, 100%, $E$13)</f>
        <v>10.531700000000001</v>
      </c>
    </row>
    <row r="589" spans="1:11" ht="15">
      <c r="A589" s="13">
        <v>59050</v>
      </c>
      <c r="B589" s="67">
        <f>9.0401 * CHOOSE(CONTROL!$C$22, $C$13, 100%, $E$13)</f>
        <v>9.0401000000000007</v>
      </c>
      <c r="C589" s="67">
        <f>9.0401 * CHOOSE(CONTROL!$C$22, $C$13, 100%, $E$13)</f>
        <v>9.0401000000000007</v>
      </c>
      <c r="D589" s="67">
        <f>9.0456 * CHOOSE(CONTROL!$C$22, $C$13, 100%, $E$13)</f>
        <v>9.0456000000000003</v>
      </c>
      <c r="E589" s="68">
        <f>10.5042 * CHOOSE(CONTROL!$C$22, $C$13, 100%, $E$13)</f>
        <v>10.504200000000001</v>
      </c>
      <c r="F589" s="68">
        <f>10.5042 * CHOOSE(CONTROL!$C$22, $C$13, 100%, $E$13)</f>
        <v>10.504200000000001</v>
      </c>
      <c r="G589" s="68">
        <f>10.5109 * CHOOSE(CONTROL!$C$22, $C$13, 100%, $E$13)</f>
        <v>10.510899999999999</v>
      </c>
      <c r="H589" s="68">
        <f>16.2292* CHOOSE(CONTROL!$C$22, $C$13, 100%, $E$13)</f>
        <v>16.229199999999999</v>
      </c>
      <c r="I589" s="68">
        <f>16.2359 * CHOOSE(CONTROL!$C$22, $C$13, 100%, $E$13)</f>
        <v>16.235900000000001</v>
      </c>
      <c r="J589" s="68">
        <f>10.5042 * CHOOSE(CONTROL!$C$22, $C$13, 100%, $E$13)</f>
        <v>10.504200000000001</v>
      </c>
      <c r="K589" s="68">
        <f>10.5109 * CHOOSE(CONTROL!$C$22, $C$13, 100%, $E$13)</f>
        <v>10.510899999999999</v>
      </c>
    </row>
    <row r="590" spans="1:11" ht="15">
      <c r="A590" s="13">
        <v>59080</v>
      </c>
      <c r="B590" s="67">
        <f>9.0516 * CHOOSE(CONTROL!$C$22, $C$13, 100%, $E$13)</f>
        <v>9.0516000000000005</v>
      </c>
      <c r="C590" s="67">
        <f>9.0516 * CHOOSE(CONTROL!$C$22, $C$13, 100%, $E$13)</f>
        <v>9.0516000000000005</v>
      </c>
      <c r="D590" s="67">
        <f>9.0555 * CHOOSE(CONTROL!$C$22, $C$13, 100%, $E$13)</f>
        <v>9.0555000000000003</v>
      </c>
      <c r="E590" s="68">
        <f>10.5653 * CHOOSE(CONTROL!$C$22, $C$13, 100%, $E$13)</f>
        <v>10.565300000000001</v>
      </c>
      <c r="F590" s="68">
        <f>10.5653 * CHOOSE(CONTROL!$C$22, $C$13, 100%, $E$13)</f>
        <v>10.565300000000001</v>
      </c>
      <c r="G590" s="68">
        <f>10.57 * CHOOSE(CONTROL!$C$22, $C$13, 100%, $E$13)</f>
        <v>10.57</v>
      </c>
      <c r="H590" s="68">
        <f>16.263* CHOOSE(CONTROL!$C$22, $C$13, 100%, $E$13)</f>
        <v>16.263000000000002</v>
      </c>
      <c r="I590" s="68">
        <f>16.2677 * CHOOSE(CONTROL!$C$22, $C$13, 100%, $E$13)</f>
        <v>16.267700000000001</v>
      </c>
      <c r="J590" s="68">
        <f>10.5653 * CHOOSE(CONTROL!$C$22, $C$13, 100%, $E$13)</f>
        <v>10.565300000000001</v>
      </c>
      <c r="K590" s="68">
        <f>10.57 * CHOOSE(CONTROL!$C$22, $C$13, 100%, $E$13)</f>
        <v>10.57</v>
      </c>
    </row>
    <row r="591" spans="1:11" ht="15">
      <c r="A591" s="13">
        <v>59111</v>
      </c>
      <c r="B591" s="67">
        <f>9.0547 * CHOOSE(CONTROL!$C$22, $C$13, 100%, $E$13)</f>
        <v>9.0547000000000004</v>
      </c>
      <c r="C591" s="67">
        <f>9.0547 * CHOOSE(CONTROL!$C$22, $C$13, 100%, $E$13)</f>
        <v>9.0547000000000004</v>
      </c>
      <c r="D591" s="67">
        <f>9.0585 * CHOOSE(CONTROL!$C$22, $C$13, 100%, $E$13)</f>
        <v>9.0585000000000004</v>
      </c>
      <c r="E591" s="68">
        <f>10.6046 * CHOOSE(CONTROL!$C$22, $C$13, 100%, $E$13)</f>
        <v>10.6046</v>
      </c>
      <c r="F591" s="68">
        <f>10.6046 * CHOOSE(CONTROL!$C$22, $C$13, 100%, $E$13)</f>
        <v>10.6046</v>
      </c>
      <c r="G591" s="68">
        <f>10.6094 * CHOOSE(CONTROL!$C$22, $C$13, 100%, $E$13)</f>
        <v>10.609400000000001</v>
      </c>
      <c r="H591" s="68">
        <f>16.2968* CHOOSE(CONTROL!$C$22, $C$13, 100%, $E$13)</f>
        <v>16.296800000000001</v>
      </c>
      <c r="I591" s="68">
        <f>16.3016 * CHOOSE(CONTROL!$C$22, $C$13, 100%, $E$13)</f>
        <v>16.301600000000001</v>
      </c>
      <c r="J591" s="68">
        <f>10.6046 * CHOOSE(CONTROL!$C$22, $C$13, 100%, $E$13)</f>
        <v>10.6046</v>
      </c>
      <c r="K591" s="68">
        <f>10.6094 * CHOOSE(CONTROL!$C$22, $C$13, 100%, $E$13)</f>
        <v>10.609400000000001</v>
      </c>
    </row>
    <row r="592" spans="1:11" ht="15">
      <c r="A592" s="13">
        <v>59141</v>
      </c>
      <c r="B592" s="67">
        <f>9.0547 * CHOOSE(CONTROL!$C$22, $C$13, 100%, $E$13)</f>
        <v>9.0547000000000004</v>
      </c>
      <c r="C592" s="67">
        <f>9.0547 * CHOOSE(CONTROL!$C$22, $C$13, 100%, $E$13)</f>
        <v>9.0547000000000004</v>
      </c>
      <c r="D592" s="67">
        <f>9.0585 * CHOOSE(CONTROL!$C$22, $C$13, 100%, $E$13)</f>
        <v>9.0585000000000004</v>
      </c>
      <c r="E592" s="68">
        <f>10.5115 * CHOOSE(CONTROL!$C$22, $C$13, 100%, $E$13)</f>
        <v>10.5115</v>
      </c>
      <c r="F592" s="68">
        <f>10.5115 * CHOOSE(CONTROL!$C$22, $C$13, 100%, $E$13)</f>
        <v>10.5115</v>
      </c>
      <c r="G592" s="68">
        <f>10.5163 * CHOOSE(CONTROL!$C$22, $C$13, 100%, $E$13)</f>
        <v>10.516299999999999</v>
      </c>
      <c r="H592" s="68">
        <f>16.3308* CHOOSE(CONTROL!$C$22, $C$13, 100%, $E$13)</f>
        <v>16.3308</v>
      </c>
      <c r="I592" s="68">
        <f>16.3356 * CHOOSE(CONTROL!$C$22, $C$13, 100%, $E$13)</f>
        <v>16.335599999999999</v>
      </c>
      <c r="J592" s="68">
        <f>10.5115 * CHOOSE(CONTROL!$C$22, $C$13, 100%, $E$13)</f>
        <v>10.5115</v>
      </c>
      <c r="K592" s="68">
        <f>10.5163 * CHOOSE(CONTROL!$C$22, $C$13, 100%, $E$13)</f>
        <v>10.516299999999999</v>
      </c>
    </row>
    <row r="593" spans="1:11" ht="15">
      <c r="A593" s="13">
        <v>59172</v>
      </c>
      <c r="B593" s="67">
        <f>9.1318 * CHOOSE(CONTROL!$C$22, $C$13, 100%, $E$13)</f>
        <v>9.1318000000000001</v>
      </c>
      <c r="C593" s="67">
        <f>9.1318 * CHOOSE(CONTROL!$C$22, $C$13, 100%, $E$13)</f>
        <v>9.1318000000000001</v>
      </c>
      <c r="D593" s="67">
        <f>9.1356 * CHOOSE(CONTROL!$C$22, $C$13, 100%, $E$13)</f>
        <v>9.1356000000000002</v>
      </c>
      <c r="E593" s="68">
        <f>10.6637 * CHOOSE(CONTROL!$C$22, $C$13, 100%, $E$13)</f>
        <v>10.6637</v>
      </c>
      <c r="F593" s="68">
        <f>10.6637 * CHOOSE(CONTROL!$C$22, $C$13, 100%, $E$13)</f>
        <v>10.6637</v>
      </c>
      <c r="G593" s="68">
        <f>10.6685 * CHOOSE(CONTROL!$C$22, $C$13, 100%, $E$13)</f>
        <v>10.6685</v>
      </c>
      <c r="H593" s="68">
        <f>16.3648* CHOOSE(CONTROL!$C$22, $C$13, 100%, $E$13)</f>
        <v>16.364799999999999</v>
      </c>
      <c r="I593" s="68">
        <f>16.3696 * CHOOSE(CONTROL!$C$22, $C$13, 100%, $E$13)</f>
        <v>16.369599999999998</v>
      </c>
      <c r="J593" s="68">
        <f>10.6637 * CHOOSE(CONTROL!$C$22, $C$13, 100%, $E$13)</f>
        <v>10.6637</v>
      </c>
      <c r="K593" s="68">
        <f>10.6685 * CHOOSE(CONTROL!$C$22, $C$13, 100%, $E$13)</f>
        <v>10.6685</v>
      </c>
    </row>
    <row r="594" spans="1:11" ht="15">
      <c r="A594" s="13">
        <v>59203</v>
      </c>
      <c r="B594" s="67">
        <f>9.1287 * CHOOSE(CONTROL!$C$22, $C$13, 100%, $E$13)</f>
        <v>9.1287000000000003</v>
      </c>
      <c r="C594" s="67">
        <f>9.1287 * CHOOSE(CONTROL!$C$22, $C$13, 100%, $E$13)</f>
        <v>9.1287000000000003</v>
      </c>
      <c r="D594" s="67">
        <f>9.1326 * CHOOSE(CONTROL!$C$22, $C$13, 100%, $E$13)</f>
        <v>9.1326000000000001</v>
      </c>
      <c r="E594" s="68">
        <f>10.4807 * CHOOSE(CONTROL!$C$22, $C$13, 100%, $E$13)</f>
        <v>10.480700000000001</v>
      </c>
      <c r="F594" s="68">
        <f>10.4807 * CHOOSE(CONTROL!$C$22, $C$13, 100%, $E$13)</f>
        <v>10.480700000000001</v>
      </c>
      <c r="G594" s="68">
        <f>10.4855 * CHOOSE(CONTROL!$C$22, $C$13, 100%, $E$13)</f>
        <v>10.4855</v>
      </c>
      <c r="H594" s="68">
        <f>16.3989* CHOOSE(CONTROL!$C$22, $C$13, 100%, $E$13)</f>
        <v>16.398900000000001</v>
      </c>
      <c r="I594" s="68">
        <f>16.4037 * CHOOSE(CONTROL!$C$22, $C$13, 100%, $E$13)</f>
        <v>16.403700000000001</v>
      </c>
      <c r="J594" s="68">
        <f>10.4807 * CHOOSE(CONTROL!$C$22, $C$13, 100%, $E$13)</f>
        <v>10.480700000000001</v>
      </c>
      <c r="K594" s="68">
        <f>10.4855 * CHOOSE(CONTROL!$C$22, $C$13, 100%, $E$13)</f>
        <v>10.4855</v>
      </c>
    </row>
    <row r="595" spans="1:11" ht="15">
      <c r="A595" s="13">
        <v>59231</v>
      </c>
      <c r="B595" s="67">
        <f>9.1257 * CHOOSE(CONTROL!$C$22, $C$13, 100%, $E$13)</f>
        <v>9.1257000000000001</v>
      </c>
      <c r="C595" s="67">
        <f>9.1257 * CHOOSE(CONTROL!$C$22, $C$13, 100%, $E$13)</f>
        <v>9.1257000000000001</v>
      </c>
      <c r="D595" s="67">
        <f>9.1295 * CHOOSE(CONTROL!$C$22, $C$13, 100%, $E$13)</f>
        <v>9.1295000000000002</v>
      </c>
      <c r="E595" s="68">
        <f>10.6212 * CHOOSE(CONTROL!$C$22, $C$13, 100%, $E$13)</f>
        <v>10.6212</v>
      </c>
      <c r="F595" s="68">
        <f>10.6212 * CHOOSE(CONTROL!$C$22, $C$13, 100%, $E$13)</f>
        <v>10.6212</v>
      </c>
      <c r="G595" s="68">
        <f>10.626 * CHOOSE(CONTROL!$C$22, $C$13, 100%, $E$13)</f>
        <v>10.625999999999999</v>
      </c>
      <c r="H595" s="68">
        <f>16.4331* CHOOSE(CONTROL!$C$22, $C$13, 100%, $E$13)</f>
        <v>16.4331</v>
      </c>
      <c r="I595" s="68">
        <f>16.4378 * CHOOSE(CONTROL!$C$22, $C$13, 100%, $E$13)</f>
        <v>16.437799999999999</v>
      </c>
      <c r="J595" s="68">
        <f>10.6212 * CHOOSE(CONTROL!$C$22, $C$13, 100%, $E$13)</f>
        <v>10.6212</v>
      </c>
      <c r="K595" s="68">
        <f>10.626 * CHOOSE(CONTROL!$C$22, $C$13, 100%, $E$13)</f>
        <v>10.625999999999999</v>
      </c>
    </row>
    <row r="596" spans="1:11" ht="15">
      <c r="A596" s="13">
        <v>59262</v>
      </c>
      <c r="B596" s="67">
        <f>9.1277 * CHOOSE(CONTROL!$C$22, $C$13, 100%, $E$13)</f>
        <v>9.1277000000000008</v>
      </c>
      <c r="C596" s="67">
        <f>9.1277 * CHOOSE(CONTROL!$C$22, $C$13, 100%, $E$13)</f>
        <v>9.1277000000000008</v>
      </c>
      <c r="D596" s="67">
        <f>9.1315 * CHOOSE(CONTROL!$C$22, $C$13, 100%, $E$13)</f>
        <v>9.1315000000000008</v>
      </c>
      <c r="E596" s="68">
        <f>10.7701 * CHOOSE(CONTROL!$C$22, $C$13, 100%, $E$13)</f>
        <v>10.770099999999999</v>
      </c>
      <c r="F596" s="68">
        <f>10.7701 * CHOOSE(CONTROL!$C$22, $C$13, 100%, $E$13)</f>
        <v>10.770099999999999</v>
      </c>
      <c r="G596" s="68">
        <f>10.7749 * CHOOSE(CONTROL!$C$22, $C$13, 100%, $E$13)</f>
        <v>10.774900000000001</v>
      </c>
      <c r="H596" s="68">
        <f>16.4673* CHOOSE(CONTROL!$C$22, $C$13, 100%, $E$13)</f>
        <v>16.467300000000002</v>
      </c>
      <c r="I596" s="68">
        <f>16.4721 * CHOOSE(CONTROL!$C$22, $C$13, 100%, $E$13)</f>
        <v>16.472100000000001</v>
      </c>
      <c r="J596" s="68">
        <f>10.7701 * CHOOSE(CONTROL!$C$22, $C$13, 100%, $E$13)</f>
        <v>10.770099999999999</v>
      </c>
      <c r="K596" s="68">
        <f>10.7749 * CHOOSE(CONTROL!$C$22, $C$13, 100%, $E$13)</f>
        <v>10.774900000000001</v>
      </c>
    </row>
    <row r="597" spans="1:11" ht="15">
      <c r="A597" s="13">
        <v>59292</v>
      </c>
      <c r="B597" s="67">
        <f>9.1277 * CHOOSE(CONTROL!$C$22, $C$13, 100%, $E$13)</f>
        <v>9.1277000000000008</v>
      </c>
      <c r="C597" s="67">
        <f>9.1277 * CHOOSE(CONTROL!$C$22, $C$13, 100%, $E$13)</f>
        <v>9.1277000000000008</v>
      </c>
      <c r="D597" s="67">
        <f>9.1332 * CHOOSE(CONTROL!$C$22, $C$13, 100%, $E$13)</f>
        <v>9.1332000000000004</v>
      </c>
      <c r="E597" s="68">
        <f>10.8276 * CHOOSE(CONTROL!$C$22, $C$13, 100%, $E$13)</f>
        <v>10.8276</v>
      </c>
      <c r="F597" s="68">
        <f>10.8276 * CHOOSE(CONTROL!$C$22, $C$13, 100%, $E$13)</f>
        <v>10.8276</v>
      </c>
      <c r="G597" s="68">
        <f>10.8343 * CHOOSE(CONTROL!$C$22, $C$13, 100%, $E$13)</f>
        <v>10.834300000000001</v>
      </c>
      <c r="H597" s="68">
        <f>16.5016* CHOOSE(CONTROL!$C$22, $C$13, 100%, $E$13)</f>
        <v>16.5016</v>
      </c>
      <c r="I597" s="68">
        <f>16.5084 * CHOOSE(CONTROL!$C$22, $C$13, 100%, $E$13)</f>
        <v>16.508400000000002</v>
      </c>
      <c r="J597" s="68">
        <f>10.8276 * CHOOSE(CONTROL!$C$22, $C$13, 100%, $E$13)</f>
        <v>10.8276</v>
      </c>
      <c r="K597" s="68">
        <f>10.8343 * CHOOSE(CONTROL!$C$22, $C$13, 100%, $E$13)</f>
        <v>10.834300000000001</v>
      </c>
    </row>
    <row r="598" spans="1:11" ht="15">
      <c r="A598" s="13">
        <v>59323</v>
      </c>
      <c r="B598" s="67">
        <f>9.1337 * CHOOSE(CONTROL!$C$22, $C$13, 100%, $E$13)</f>
        <v>9.1336999999999993</v>
      </c>
      <c r="C598" s="67">
        <f>9.1337 * CHOOSE(CONTROL!$C$22, $C$13, 100%, $E$13)</f>
        <v>9.1336999999999993</v>
      </c>
      <c r="D598" s="67">
        <f>9.1393 * CHOOSE(CONTROL!$C$22, $C$13, 100%, $E$13)</f>
        <v>9.1393000000000004</v>
      </c>
      <c r="E598" s="68">
        <f>10.7744 * CHOOSE(CONTROL!$C$22, $C$13, 100%, $E$13)</f>
        <v>10.7744</v>
      </c>
      <c r="F598" s="68">
        <f>10.7744 * CHOOSE(CONTROL!$C$22, $C$13, 100%, $E$13)</f>
        <v>10.7744</v>
      </c>
      <c r="G598" s="68">
        <f>10.7811 * CHOOSE(CONTROL!$C$22, $C$13, 100%, $E$13)</f>
        <v>10.7811</v>
      </c>
      <c r="H598" s="68">
        <f>16.536* CHOOSE(CONTROL!$C$22, $C$13, 100%, $E$13)</f>
        <v>16.536000000000001</v>
      </c>
      <c r="I598" s="68">
        <f>16.5427 * CHOOSE(CONTROL!$C$22, $C$13, 100%, $E$13)</f>
        <v>16.5427</v>
      </c>
      <c r="J598" s="68">
        <f>10.7744 * CHOOSE(CONTROL!$C$22, $C$13, 100%, $E$13)</f>
        <v>10.7744</v>
      </c>
      <c r="K598" s="68">
        <f>10.7811 * CHOOSE(CONTROL!$C$22, $C$13, 100%, $E$13)</f>
        <v>10.7811</v>
      </c>
    </row>
    <row r="599" spans="1:11" ht="15">
      <c r="A599" s="13">
        <v>59353</v>
      </c>
      <c r="B599" s="67">
        <f>9.2757 * CHOOSE(CONTROL!$C$22, $C$13, 100%, $E$13)</f>
        <v>9.2757000000000005</v>
      </c>
      <c r="C599" s="67">
        <f>9.2757 * CHOOSE(CONTROL!$C$22, $C$13, 100%, $E$13)</f>
        <v>9.2757000000000005</v>
      </c>
      <c r="D599" s="67">
        <f>9.2812 * CHOOSE(CONTROL!$C$22, $C$13, 100%, $E$13)</f>
        <v>9.2812000000000001</v>
      </c>
      <c r="E599" s="68">
        <f>10.9496 * CHOOSE(CONTROL!$C$22, $C$13, 100%, $E$13)</f>
        <v>10.9496</v>
      </c>
      <c r="F599" s="68">
        <f>10.9496 * CHOOSE(CONTROL!$C$22, $C$13, 100%, $E$13)</f>
        <v>10.9496</v>
      </c>
      <c r="G599" s="68">
        <f>10.9564 * CHOOSE(CONTROL!$C$22, $C$13, 100%, $E$13)</f>
        <v>10.9564</v>
      </c>
      <c r="H599" s="68">
        <f>16.5704* CHOOSE(CONTROL!$C$22, $C$13, 100%, $E$13)</f>
        <v>16.570399999999999</v>
      </c>
      <c r="I599" s="68">
        <f>16.5772 * CHOOSE(CONTROL!$C$22, $C$13, 100%, $E$13)</f>
        <v>16.577200000000001</v>
      </c>
      <c r="J599" s="68">
        <f>10.9496 * CHOOSE(CONTROL!$C$22, $C$13, 100%, $E$13)</f>
        <v>10.9496</v>
      </c>
      <c r="K599" s="68">
        <f>10.9564 * CHOOSE(CONTROL!$C$22, $C$13, 100%, $E$13)</f>
        <v>10.9564</v>
      </c>
    </row>
    <row r="600" spans="1:11" ht="15">
      <c r="A600" s="13">
        <v>59384</v>
      </c>
      <c r="B600" s="67">
        <f>9.2823 * CHOOSE(CONTROL!$C$22, $C$13, 100%, $E$13)</f>
        <v>9.2822999999999993</v>
      </c>
      <c r="C600" s="67">
        <f>9.2823 * CHOOSE(CONTROL!$C$22, $C$13, 100%, $E$13)</f>
        <v>9.2822999999999993</v>
      </c>
      <c r="D600" s="67">
        <f>9.2878 * CHOOSE(CONTROL!$C$22, $C$13, 100%, $E$13)</f>
        <v>9.2878000000000007</v>
      </c>
      <c r="E600" s="68">
        <f>10.782 * CHOOSE(CONTROL!$C$22, $C$13, 100%, $E$13)</f>
        <v>10.782</v>
      </c>
      <c r="F600" s="68">
        <f>10.782 * CHOOSE(CONTROL!$C$22, $C$13, 100%, $E$13)</f>
        <v>10.782</v>
      </c>
      <c r="G600" s="68">
        <f>10.7887 * CHOOSE(CONTROL!$C$22, $C$13, 100%, $E$13)</f>
        <v>10.7887</v>
      </c>
      <c r="H600" s="68">
        <f>16.605* CHOOSE(CONTROL!$C$22, $C$13, 100%, $E$13)</f>
        <v>16.605</v>
      </c>
      <c r="I600" s="68">
        <f>16.6117 * CHOOSE(CONTROL!$C$22, $C$13, 100%, $E$13)</f>
        <v>16.611699999999999</v>
      </c>
      <c r="J600" s="68">
        <f>10.782 * CHOOSE(CONTROL!$C$22, $C$13, 100%, $E$13)</f>
        <v>10.782</v>
      </c>
      <c r="K600" s="68">
        <f>10.7887 * CHOOSE(CONTROL!$C$22, $C$13, 100%, $E$13)</f>
        <v>10.7887</v>
      </c>
    </row>
    <row r="601" spans="1:11" ht="15">
      <c r="A601" s="13">
        <v>59415</v>
      </c>
      <c r="B601" s="67">
        <f>9.2793 * CHOOSE(CONTROL!$C$22, $C$13, 100%, $E$13)</f>
        <v>9.2792999999999992</v>
      </c>
      <c r="C601" s="67">
        <f>9.2793 * CHOOSE(CONTROL!$C$22, $C$13, 100%, $E$13)</f>
        <v>9.2792999999999992</v>
      </c>
      <c r="D601" s="67">
        <f>9.2848 * CHOOSE(CONTROL!$C$22, $C$13, 100%, $E$13)</f>
        <v>9.2848000000000006</v>
      </c>
      <c r="E601" s="68">
        <f>10.7607 * CHOOSE(CONTROL!$C$22, $C$13, 100%, $E$13)</f>
        <v>10.7607</v>
      </c>
      <c r="F601" s="68">
        <f>10.7607 * CHOOSE(CONTROL!$C$22, $C$13, 100%, $E$13)</f>
        <v>10.7607</v>
      </c>
      <c r="G601" s="68">
        <f>10.7675 * CHOOSE(CONTROL!$C$22, $C$13, 100%, $E$13)</f>
        <v>10.7675</v>
      </c>
      <c r="H601" s="68">
        <f>16.6396* CHOOSE(CONTROL!$C$22, $C$13, 100%, $E$13)</f>
        <v>16.639600000000002</v>
      </c>
      <c r="I601" s="68">
        <f>16.6463 * CHOOSE(CONTROL!$C$22, $C$13, 100%, $E$13)</f>
        <v>16.6463</v>
      </c>
      <c r="J601" s="68">
        <f>10.7607 * CHOOSE(CONTROL!$C$22, $C$13, 100%, $E$13)</f>
        <v>10.7607</v>
      </c>
      <c r="K601" s="68">
        <f>10.7675 * CHOOSE(CONTROL!$C$22, $C$13, 100%, $E$13)</f>
        <v>10.7675</v>
      </c>
    </row>
    <row r="602" spans="1:11" ht="15">
      <c r="A602" s="13">
        <v>59445</v>
      </c>
      <c r="B602" s="67">
        <f>9.2916 * CHOOSE(CONTROL!$C$22, $C$13, 100%, $E$13)</f>
        <v>9.2916000000000007</v>
      </c>
      <c r="C602" s="67">
        <f>9.2916 * CHOOSE(CONTROL!$C$22, $C$13, 100%, $E$13)</f>
        <v>9.2916000000000007</v>
      </c>
      <c r="D602" s="67">
        <f>9.2954 * CHOOSE(CONTROL!$C$22, $C$13, 100%, $E$13)</f>
        <v>9.2954000000000008</v>
      </c>
      <c r="E602" s="68">
        <f>10.8239 * CHOOSE(CONTROL!$C$22, $C$13, 100%, $E$13)</f>
        <v>10.8239</v>
      </c>
      <c r="F602" s="68">
        <f>10.8239 * CHOOSE(CONTROL!$C$22, $C$13, 100%, $E$13)</f>
        <v>10.8239</v>
      </c>
      <c r="G602" s="68">
        <f>10.8287 * CHOOSE(CONTROL!$C$22, $C$13, 100%, $E$13)</f>
        <v>10.8287</v>
      </c>
      <c r="H602" s="68">
        <f>16.6742* CHOOSE(CONTROL!$C$22, $C$13, 100%, $E$13)</f>
        <v>16.674199999999999</v>
      </c>
      <c r="I602" s="68">
        <f>16.679 * CHOOSE(CONTROL!$C$22, $C$13, 100%, $E$13)</f>
        <v>16.678999999999998</v>
      </c>
      <c r="J602" s="68">
        <f>10.8239 * CHOOSE(CONTROL!$C$22, $C$13, 100%, $E$13)</f>
        <v>10.8239</v>
      </c>
      <c r="K602" s="68">
        <f>10.8287 * CHOOSE(CONTROL!$C$22, $C$13, 100%, $E$13)</f>
        <v>10.8287</v>
      </c>
    </row>
    <row r="603" spans="1:11" ht="15">
      <c r="A603" s="13">
        <v>59476</v>
      </c>
      <c r="B603" s="67">
        <f>9.2946 * CHOOSE(CONTROL!$C$22, $C$13, 100%, $E$13)</f>
        <v>9.2946000000000009</v>
      </c>
      <c r="C603" s="67">
        <f>9.2946 * CHOOSE(CONTROL!$C$22, $C$13, 100%, $E$13)</f>
        <v>9.2946000000000009</v>
      </c>
      <c r="D603" s="67">
        <f>9.2985 * CHOOSE(CONTROL!$C$22, $C$13, 100%, $E$13)</f>
        <v>9.2985000000000007</v>
      </c>
      <c r="E603" s="68">
        <f>10.8643 * CHOOSE(CONTROL!$C$22, $C$13, 100%, $E$13)</f>
        <v>10.8643</v>
      </c>
      <c r="F603" s="68">
        <f>10.8643 * CHOOSE(CONTROL!$C$22, $C$13, 100%, $E$13)</f>
        <v>10.8643</v>
      </c>
      <c r="G603" s="68">
        <f>10.8691 * CHOOSE(CONTROL!$C$22, $C$13, 100%, $E$13)</f>
        <v>10.8691</v>
      </c>
      <c r="H603" s="68">
        <f>16.709* CHOOSE(CONTROL!$C$22, $C$13, 100%, $E$13)</f>
        <v>16.709</v>
      </c>
      <c r="I603" s="68">
        <f>16.7137 * CHOOSE(CONTROL!$C$22, $C$13, 100%, $E$13)</f>
        <v>16.713699999999999</v>
      </c>
      <c r="J603" s="68">
        <f>10.8643 * CHOOSE(CONTROL!$C$22, $C$13, 100%, $E$13)</f>
        <v>10.8643</v>
      </c>
      <c r="K603" s="68">
        <f>10.8691 * CHOOSE(CONTROL!$C$22, $C$13, 100%, $E$13)</f>
        <v>10.8691</v>
      </c>
    </row>
    <row r="604" spans="1:11" ht="15">
      <c r="A604" s="13">
        <v>59506</v>
      </c>
      <c r="B604" s="67">
        <f>9.2946 * CHOOSE(CONTROL!$C$22, $C$13, 100%, $E$13)</f>
        <v>9.2946000000000009</v>
      </c>
      <c r="C604" s="67">
        <f>9.2946 * CHOOSE(CONTROL!$C$22, $C$13, 100%, $E$13)</f>
        <v>9.2946000000000009</v>
      </c>
      <c r="D604" s="67">
        <f>9.2985 * CHOOSE(CONTROL!$C$22, $C$13, 100%, $E$13)</f>
        <v>9.2985000000000007</v>
      </c>
      <c r="E604" s="68">
        <f>10.7686 * CHOOSE(CONTROL!$C$22, $C$13, 100%, $E$13)</f>
        <v>10.768599999999999</v>
      </c>
      <c r="F604" s="68">
        <f>10.7686 * CHOOSE(CONTROL!$C$22, $C$13, 100%, $E$13)</f>
        <v>10.768599999999999</v>
      </c>
      <c r="G604" s="68">
        <f>10.7734 * CHOOSE(CONTROL!$C$22, $C$13, 100%, $E$13)</f>
        <v>10.773400000000001</v>
      </c>
      <c r="H604" s="68">
        <f>16.7438* CHOOSE(CONTROL!$C$22, $C$13, 100%, $E$13)</f>
        <v>16.7438</v>
      </c>
      <c r="I604" s="68">
        <f>16.7485 * CHOOSE(CONTROL!$C$22, $C$13, 100%, $E$13)</f>
        <v>16.7485</v>
      </c>
      <c r="J604" s="68">
        <f>10.7686 * CHOOSE(CONTROL!$C$22, $C$13, 100%, $E$13)</f>
        <v>10.768599999999999</v>
      </c>
      <c r="K604" s="68">
        <f>10.7734 * CHOOSE(CONTROL!$C$22, $C$13, 100%, $E$13)</f>
        <v>10.773400000000001</v>
      </c>
    </row>
    <row r="605" spans="1:11" ht="15">
      <c r="A605" s="13">
        <v>59537</v>
      </c>
      <c r="B605" s="67">
        <f>9.3673 * CHOOSE(CONTROL!$C$22, $C$13, 100%, $E$13)</f>
        <v>9.3673000000000002</v>
      </c>
      <c r="C605" s="67">
        <f>9.3673 * CHOOSE(CONTROL!$C$22, $C$13, 100%, $E$13)</f>
        <v>9.3673000000000002</v>
      </c>
      <c r="D605" s="67">
        <f>9.3712 * CHOOSE(CONTROL!$C$22, $C$13, 100%, $E$13)</f>
        <v>9.3712</v>
      </c>
      <c r="E605" s="68">
        <f>10.9185 * CHOOSE(CONTROL!$C$22, $C$13, 100%, $E$13)</f>
        <v>10.9185</v>
      </c>
      <c r="F605" s="68">
        <f>10.9185 * CHOOSE(CONTROL!$C$22, $C$13, 100%, $E$13)</f>
        <v>10.9185</v>
      </c>
      <c r="G605" s="68">
        <f>10.9232 * CHOOSE(CONTROL!$C$22, $C$13, 100%, $E$13)</f>
        <v>10.9232</v>
      </c>
      <c r="H605" s="68">
        <f>16.7685* CHOOSE(CONTROL!$C$22, $C$13, 100%, $E$13)</f>
        <v>16.7685</v>
      </c>
      <c r="I605" s="68">
        <f>16.7732 * CHOOSE(CONTROL!$C$22, $C$13, 100%, $E$13)</f>
        <v>16.773199999999999</v>
      </c>
      <c r="J605" s="68">
        <f>10.9185 * CHOOSE(CONTROL!$C$22, $C$13, 100%, $E$13)</f>
        <v>10.9185</v>
      </c>
      <c r="K605" s="68">
        <f>10.9232 * CHOOSE(CONTROL!$C$22, $C$13, 100%, $E$13)</f>
        <v>10.9232</v>
      </c>
    </row>
    <row r="606" spans="1:11" ht="15">
      <c r="A606" s="13">
        <v>59568</v>
      </c>
      <c r="B606" s="67">
        <f>9.3643 * CHOOSE(CONTROL!$C$22, $C$13, 100%, $E$13)</f>
        <v>9.3643000000000001</v>
      </c>
      <c r="C606" s="67">
        <f>9.3643 * CHOOSE(CONTROL!$C$22, $C$13, 100%, $E$13)</f>
        <v>9.3643000000000001</v>
      </c>
      <c r="D606" s="67">
        <f>9.3682 * CHOOSE(CONTROL!$C$22, $C$13, 100%, $E$13)</f>
        <v>9.3681999999999999</v>
      </c>
      <c r="E606" s="68">
        <f>10.7305 * CHOOSE(CONTROL!$C$22, $C$13, 100%, $E$13)</f>
        <v>10.730499999999999</v>
      </c>
      <c r="F606" s="68">
        <f>10.7305 * CHOOSE(CONTROL!$C$22, $C$13, 100%, $E$13)</f>
        <v>10.730499999999999</v>
      </c>
      <c r="G606" s="68">
        <f>10.7353 * CHOOSE(CONTROL!$C$22, $C$13, 100%, $E$13)</f>
        <v>10.735300000000001</v>
      </c>
      <c r="H606" s="68">
        <f>16.8034* CHOOSE(CONTROL!$C$22, $C$13, 100%, $E$13)</f>
        <v>16.8034</v>
      </c>
      <c r="I606" s="68">
        <f>16.8082 * CHOOSE(CONTROL!$C$22, $C$13, 100%, $E$13)</f>
        <v>16.808199999999999</v>
      </c>
      <c r="J606" s="68">
        <f>10.7305 * CHOOSE(CONTROL!$C$22, $C$13, 100%, $E$13)</f>
        <v>10.730499999999999</v>
      </c>
      <c r="K606" s="68">
        <f>10.7353 * CHOOSE(CONTROL!$C$22, $C$13, 100%, $E$13)</f>
        <v>10.735300000000001</v>
      </c>
    </row>
    <row r="607" spans="1:11" ht="15">
      <c r="A607" s="13">
        <v>59596</v>
      </c>
      <c r="B607" s="67">
        <f>9.3612 * CHOOSE(CONTROL!$C$22, $C$13, 100%, $E$13)</f>
        <v>9.3612000000000002</v>
      </c>
      <c r="C607" s="67">
        <f>9.3612 * CHOOSE(CONTROL!$C$22, $C$13, 100%, $E$13)</f>
        <v>9.3612000000000002</v>
      </c>
      <c r="D607" s="67">
        <f>9.3651 * CHOOSE(CONTROL!$C$22, $C$13, 100%, $E$13)</f>
        <v>9.3651</v>
      </c>
      <c r="E607" s="68">
        <f>10.8749 * CHOOSE(CONTROL!$C$22, $C$13, 100%, $E$13)</f>
        <v>10.8749</v>
      </c>
      <c r="F607" s="68">
        <f>10.8749 * CHOOSE(CONTROL!$C$22, $C$13, 100%, $E$13)</f>
        <v>10.8749</v>
      </c>
      <c r="G607" s="68">
        <f>10.8797 * CHOOSE(CONTROL!$C$22, $C$13, 100%, $E$13)</f>
        <v>10.8797</v>
      </c>
      <c r="H607" s="68">
        <f>16.8384* CHOOSE(CONTROL!$C$22, $C$13, 100%, $E$13)</f>
        <v>16.8384</v>
      </c>
      <c r="I607" s="68">
        <f>16.8432 * CHOOSE(CONTROL!$C$22, $C$13, 100%, $E$13)</f>
        <v>16.8432</v>
      </c>
      <c r="J607" s="68">
        <f>10.8749 * CHOOSE(CONTROL!$C$22, $C$13, 100%, $E$13)</f>
        <v>10.8749</v>
      </c>
      <c r="K607" s="68">
        <f>10.8797 * CHOOSE(CONTROL!$C$22, $C$13, 100%, $E$13)</f>
        <v>10.8797</v>
      </c>
    </row>
    <row r="608" spans="1:11" ht="15">
      <c r="A608" s="13">
        <v>59627</v>
      </c>
      <c r="B608" s="67">
        <f>9.3634 * CHOOSE(CONTROL!$C$22, $C$13, 100%, $E$13)</f>
        <v>9.3634000000000004</v>
      </c>
      <c r="C608" s="67">
        <f>9.3634 * CHOOSE(CONTROL!$C$22, $C$13, 100%, $E$13)</f>
        <v>9.3634000000000004</v>
      </c>
      <c r="D608" s="67">
        <f>9.3673 * CHOOSE(CONTROL!$C$22, $C$13, 100%, $E$13)</f>
        <v>9.3673000000000002</v>
      </c>
      <c r="E608" s="68">
        <f>11.028 * CHOOSE(CONTROL!$C$22, $C$13, 100%, $E$13)</f>
        <v>11.028</v>
      </c>
      <c r="F608" s="68">
        <f>11.028 * CHOOSE(CONTROL!$C$22, $C$13, 100%, $E$13)</f>
        <v>11.028</v>
      </c>
      <c r="G608" s="68">
        <f>11.0328 * CHOOSE(CONTROL!$C$22, $C$13, 100%, $E$13)</f>
        <v>11.0328</v>
      </c>
      <c r="H608" s="68">
        <f>16.8735* CHOOSE(CONTROL!$C$22, $C$13, 100%, $E$13)</f>
        <v>16.8735</v>
      </c>
      <c r="I608" s="68">
        <f>16.8782 * CHOOSE(CONTROL!$C$22, $C$13, 100%, $E$13)</f>
        <v>16.8782</v>
      </c>
      <c r="J608" s="68">
        <f>11.028 * CHOOSE(CONTROL!$C$22, $C$13, 100%, $E$13)</f>
        <v>11.028</v>
      </c>
      <c r="K608" s="68">
        <f>11.0328 * CHOOSE(CONTROL!$C$22, $C$13, 100%, $E$13)</f>
        <v>11.0328</v>
      </c>
    </row>
    <row r="609" spans="1:11" ht="15">
      <c r="A609" s="13">
        <v>59657</v>
      </c>
      <c r="B609" s="67">
        <f>9.3634 * CHOOSE(CONTROL!$C$22, $C$13, 100%, $E$13)</f>
        <v>9.3634000000000004</v>
      </c>
      <c r="C609" s="67">
        <f>9.3634 * CHOOSE(CONTROL!$C$22, $C$13, 100%, $E$13)</f>
        <v>9.3634000000000004</v>
      </c>
      <c r="D609" s="67">
        <f>9.3689 * CHOOSE(CONTROL!$C$22, $C$13, 100%, $E$13)</f>
        <v>9.3689</v>
      </c>
      <c r="E609" s="68">
        <f>11.087 * CHOOSE(CONTROL!$C$22, $C$13, 100%, $E$13)</f>
        <v>11.087</v>
      </c>
      <c r="F609" s="68">
        <f>11.087 * CHOOSE(CONTROL!$C$22, $C$13, 100%, $E$13)</f>
        <v>11.087</v>
      </c>
      <c r="G609" s="68">
        <f>11.0937 * CHOOSE(CONTROL!$C$22, $C$13, 100%, $E$13)</f>
        <v>11.0937</v>
      </c>
      <c r="H609" s="68">
        <f>16.9086* CHOOSE(CONTROL!$C$22, $C$13, 100%, $E$13)</f>
        <v>16.9086</v>
      </c>
      <c r="I609" s="68">
        <f>16.9154 * CHOOSE(CONTROL!$C$22, $C$13, 100%, $E$13)</f>
        <v>16.915400000000002</v>
      </c>
      <c r="J609" s="68">
        <f>11.087 * CHOOSE(CONTROL!$C$22, $C$13, 100%, $E$13)</f>
        <v>11.087</v>
      </c>
      <c r="K609" s="68">
        <f>11.0937 * CHOOSE(CONTROL!$C$22, $C$13, 100%, $E$13)</f>
        <v>11.0937</v>
      </c>
    </row>
    <row r="610" spans="1:11" ht="15">
      <c r="A610" s="13">
        <v>59688</v>
      </c>
      <c r="B610" s="67">
        <f>9.3695 * CHOOSE(CONTROL!$C$22, $C$13, 100%, $E$13)</f>
        <v>9.3695000000000004</v>
      </c>
      <c r="C610" s="67">
        <f>9.3695 * CHOOSE(CONTROL!$C$22, $C$13, 100%, $E$13)</f>
        <v>9.3695000000000004</v>
      </c>
      <c r="D610" s="67">
        <f>9.375 * CHOOSE(CONTROL!$C$22, $C$13, 100%, $E$13)</f>
        <v>9.375</v>
      </c>
      <c r="E610" s="68">
        <f>11.0322 * CHOOSE(CONTROL!$C$22, $C$13, 100%, $E$13)</f>
        <v>11.0322</v>
      </c>
      <c r="F610" s="68">
        <f>11.0322 * CHOOSE(CONTROL!$C$22, $C$13, 100%, $E$13)</f>
        <v>11.0322</v>
      </c>
      <c r="G610" s="68">
        <f>11.039 * CHOOSE(CONTROL!$C$22, $C$13, 100%, $E$13)</f>
        <v>11.039</v>
      </c>
      <c r="H610" s="68">
        <f>16.9439* CHOOSE(CONTROL!$C$22, $C$13, 100%, $E$13)</f>
        <v>16.943899999999999</v>
      </c>
      <c r="I610" s="68">
        <f>16.9506 * CHOOSE(CONTROL!$C$22, $C$13, 100%, $E$13)</f>
        <v>16.950600000000001</v>
      </c>
      <c r="J610" s="68">
        <f>11.0322 * CHOOSE(CONTROL!$C$22, $C$13, 100%, $E$13)</f>
        <v>11.0322</v>
      </c>
      <c r="K610" s="68">
        <f>11.039 * CHOOSE(CONTROL!$C$22, $C$13, 100%, $E$13)</f>
        <v>11.039</v>
      </c>
    </row>
    <row r="611" spans="1:11" ht="15">
      <c r="A611" s="13">
        <v>59718</v>
      </c>
      <c r="B611" s="67">
        <f>9.5148 * CHOOSE(CONTROL!$C$22, $C$13, 100%, $E$13)</f>
        <v>9.5147999999999993</v>
      </c>
      <c r="C611" s="67">
        <f>9.5148 * CHOOSE(CONTROL!$C$22, $C$13, 100%, $E$13)</f>
        <v>9.5147999999999993</v>
      </c>
      <c r="D611" s="67">
        <f>9.5203 * CHOOSE(CONTROL!$C$22, $C$13, 100%, $E$13)</f>
        <v>9.5203000000000007</v>
      </c>
      <c r="E611" s="68">
        <f>11.2114 * CHOOSE(CONTROL!$C$22, $C$13, 100%, $E$13)</f>
        <v>11.211399999999999</v>
      </c>
      <c r="F611" s="68">
        <f>11.2114 * CHOOSE(CONTROL!$C$22, $C$13, 100%, $E$13)</f>
        <v>11.211399999999999</v>
      </c>
      <c r="G611" s="68">
        <f>11.2182 * CHOOSE(CONTROL!$C$22, $C$13, 100%, $E$13)</f>
        <v>11.2182</v>
      </c>
      <c r="H611" s="68">
        <f>16.9792* CHOOSE(CONTROL!$C$22, $C$13, 100%, $E$13)</f>
        <v>16.979199999999999</v>
      </c>
      <c r="I611" s="68">
        <f>16.9859 * CHOOSE(CONTROL!$C$22, $C$13, 100%, $E$13)</f>
        <v>16.985900000000001</v>
      </c>
      <c r="J611" s="68">
        <f>11.2114 * CHOOSE(CONTROL!$C$22, $C$13, 100%, $E$13)</f>
        <v>11.211399999999999</v>
      </c>
      <c r="K611" s="68">
        <f>11.2182 * CHOOSE(CONTROL!$C$22, $C$13, 100%, $E$13)</f>
        <v>11.2182</v>
      </c>
    </row>
    <row r="612" spans="1:11" ht="15">
      <c r="A612" s="13">
        <v>59749</v>
      </c>
      <c r="B612" s="67">
        <f>9.5215 * CHOOSE(CONTROL!$C$22, $C$13, 100%, $E$13)</f>
        <v>9.5214999999999996</v>
      </c>
      <c r="C612" s="67">
        <f>9.5215 * CHOOSE(CONTROL!$C$22, $C$13, 100%, $E$13)</f>
        <v>9.5214999999999996</v>
      </c>
      <c r="D612" s="67">
        <f>9.527 * CHOOSE(CONTROL!$C$22, $C$13, 100%, $E$13)</f>
        <v>9.5269999999999992</v>
      </c>
      <c r="E612" s="68">
        <f>11.0391 * CHOOSE(CONTROL!$C$22, $C$13, 100%, $E$13)</f>
        <v>11.039099999999999</v>
      </c>
      <c r="F612" s="68">
        <f>11.0391 * CHOOSE(CONTROL!$C$22, $C$13, 100%, $E$13)</f>
        <v>11.039099999999999</v>
      </c>
      <c r="G612" s="68">
        <f>11.0458 * CHOOSE(CONTROL!$C$22, $C$13, 100%, $E$13)</f>
        <v>11.0458</v>
      </c>
      <c r="H612" s="68">
        <f>17.0145* CHOOSE(CONTROL!$C$22, $C$13, 100%, $E$13)</f>
        <v>17.014500000000002</v>
      </c>
      <c r="I612" s="68">
        <f>17.0213 * CHOOSE(CONTROL!$C$22, $C$13, 100%, $E$13)</f>
        <v>17.0213</v>
      </c>
      <c r="J612" s="68">
        <f>11.0391 * CHOOSE(CONTROL!$C$22, $C$13, 100%, $E$13)</f>
        <v>11.039099999999999</v>
      </c>
      <c r="K612" s="68">
        <f>11.0458 * CHOOSE(CONTROL!$C$22, $C$13, 100%, $E$13)</f>
        <v>11.0458</v>
      </c>
    </row>
    <row r="613" spans="1:11" ht="15">
      <c r="A613" s="13">
        <v>59780</v>
      </c>
      <c r="B613" s="67">
        <f>9.5185 * CHOOSE(CONTROL!$C$22, $C$13, 100%, $E$13)</f>
        <v>9.5184999999999995</v>
      </c>
      <c r="C613" s="67">
        <f>9.5185 * CHOOSE(CONTROL!$C$22, $C$13, 100%, $E$13)</f>
        <v>9.5184999999999995</v>
      </c>
      <c r="D613" s="67">
        <f>9.524 * CHOOSE(CONTROL!$C$22, $C$13, 100%, $E$13)</f>
        <v>9.5239999999999991</v>
      </c>
      <c r="E613" s="68">
        <f>11.0173 * CHOOSE(CONTROL!$C$22, $C$13, 100%, $E$13)</f>
        <v>11.017300000000001</v>
      </c>
      <c r="F613" s="68">
        <f>11.0173 * CHOOSE(CONTROL!$C$22, $C$13, 100%, $E$13)</f>
        <v>11.017300000000001</v>
      </c>
      <c r="G613" s="68">
        <f>11.024 * CHOOSE(CONTROL!$C$22, $C$13, 100%, $E$13)</f>
        <v>11.023999999999999</v>
      </c>
      <c r="H613" s="68">
        <f>17.05* CHOOSE(CONTROL!$C$22, $C$13, 100%, $E$13)</f>
        <v>17.05</v>
      </c>
      <c r="I613" s="68">
        <f>17.0567 * CHOOSE(CONTROL!$C$22, $C$13, 100%, $E$13)</f>
        <v>17.056699999999999</v>
      </c>
      <c r="J613" s="68">
        <f>11.0173 * CHOOSE(CONTROL!$C$22, $C$13, 100%, $E$13)</f>
        <v>11.017300000000001</v>
      </c>
      <c r="K613" s="68">
        <f>11.024 * CHOOSE(CONTROL!$C$22, $C$13, 100%, $E$13)</f>
        <v>11.023999999999999</v>
      </c>
    </row>
    <row r="614" spans="1:11" ht="15">
      <c r="A614" s="13">
        <v>59810</v>
      </c>
      <c r="B614" s="67">
        <f>9.5315 * CHOOSE(CONTROL!$C$22, $C$13, 100%, $E$13)</f>
        <v>9.5314999999999994</v>
      </c>
      <c r="C614" s="67">
        <f>9.5315 * CHOOSE(CONTROL!$C$22, $C$13, 100%, $E$13)</f>
        <v>9.5314999999999994</v>
      </c>
      <c r="D614" s="67">
        <f>9.5354 * CHOOSE(CONTROL!$C$22, $C$13, 100%, $E$13)</f>
        <v>9.5353999999999992</v>
      </c>
      <c r="E614" s="68">
        <f>11.0825 * CHOOSE(CONTROL!$C$22, $C$13, 100%, $E$13)</f>
        <v>11.0825</v>
      </c>
      <c r="F614" s="68">
        <f>11.0825 * CHOOSE(CONTROL!$C$22, $C$13, 100%, $E$13)</f>
        <v>11.0825</v>
      </c>
      <c r="G614" s="68">
        <f>11.0873 * CHOOSE(CONTROL!$C$22, $C$13, 100%, $E$13)</f>
        <v>11.087300000000001</v>
      </c>
      <c r="H614" s="68">
        <f>17.0855* CHOOSE(CONTROL!$C$22, $C$13, 100%, $E$13)</f>
        <v>17.0855</v>
      </c>
      <c r="I614" s="68">
        <f>17.0903 * CHOOSE(CONTROL!$C$22, $C$13, 100%, $E$13)</f>
        <v>17.090299999999999</v>
      </c>
      <c r="J614" s="68">
        <f>11.0825 * CHOOSE(CONTROL!$C$22, $C$13, 100%, $E$13)</f>
        <v>11.0825</v>
      </c>
      <c r="K614" s="68">
        <f>11.0873 * CHOOSE(CONTROL!$C$22, $C$13, 100%, $E$13)</f>
        <v>11.087300000000001</v>
      </c>
    </row>
    <row r="615" spans="1:11" ht="15">
      <c r="A615" s="13">
        <v>59841</v>
      </c>
      <c r="B615" s="67">
        <f>9.5345 * CHOOSE(CONTROL!$C$22, $C$13, 100%, $E$13)</f>
        <v>9.5344999999999995</v>
      </c>
      <c r="C615" s="67">
        <f>9.5345 * CHOOSE(CONTROL!$C$22, $C$13, 100%, $E$13)</f>
        <v>9.5344999999999995</v>
      </c>
      <c r="D615" s="67">
        <f>9.5384 * CHOOSE(CONTROL!$C$22, $C$13, 100%, $E$13)</f>
        <v>9.5383999999999993</v>
      </c>
      <c r="E615" s="68">
        <f>11.124 * CHOOSE(CONTROL!$C$22, $C$13, 100%, $E$13)</f>
        <v>11.124000000000001</v>
      </c>
      <c r="F615" s="68">
        <f>11.124 * CHOOSE(CONTROL!$C$22, $C$13, 100%, $E$13)</f>
        <v>11.124000000000001</v>
      </c>
      <c r="G615" s="68">
        <f>11.1288 * CHOOSE(CONTROL!$C$22, $C$13, 100%, $E$13)</f>
        <v>11.1288</v>
      </c>
      <c r="H615" s="68">
        <f>17.1211* CHOOSE(CONTROL!$C$22, $C$13, 100%, $E$13)</f>
        <v>17.121099999999998</v>
      </c>
      <c r="I615" s="68">
        <f>17.1259 * CHOOSE(CONTROL!$C$22, $C$13, 100%, $E$13)</f>
        <v>17.125900000000001</v>
      </c>
      <c r="J615" s="68">
        <f>11.124 * CHOOSE(CONTROL!$C$22, $C$13, 100%, $E$13)</f>
        <v>11.124000000000001</v>
      </c>
      <c r="K615" s="68">
        <f>11.1288 * CHOOSE(CONTROL!$C$22, $C$13, 100%, $E$13)</f>
        <v>11.1288</v>
      </c>
    </row>
    <row r="616" spans="1:11" ht="15">
      <c r="A616" s="13">
        <v>59871</v>
      </c>
      <c r="B616" s="67">
        <f>9.5345 * CHOOSE(CONTROL!$C$22, $C$13, 100%, $E$13)</f>
        <v>9.5344999999999995</v>
      </c>
      <c r="C616" s="67">
        <f>9.5345 * CHOOSE(CONTROL!$C$22, $C$13, 100%, $E$13)</f>
        <v>9.5344999999999995</v>
      </c>
      <c r="D616" s="67">
        <f>9.5384 * CHOOSE(CONTROL!$C$22, $C$13, 100%, $E$13)</f>
        <v>9.5383999999999993</v>
      </c>
      <c r="E616" s="68">
        <f>11.0257 * CHOOSE(CONTROL!$C$22, $C$13, 100%, $E$13)</f>
        <v>11.025700000000001</v>
      </c>
      <c r="F616" s="68">
        <f>11.0257 * CHOOSE(CONTROL!$C$22, $C$13, 100%, $E$13)</f>
        <v>11.025700000000001</v>
      </c>
      <c r="G616" s="68">
        <f>11.0304 * CHOOSE(CONTROL!$C$22, $C$13, 100%, $E$13)</f>
        <v>11.0304</v>
      </c>
      <c r="H616" s="68">
        <f>17.1568* CHOOSE(CONTROL!$C$22, $C$13, 100%, $E$13)</f>
        <v>17.1568</v>
      </c>
      <c r="I616" s="68">
        <f>17.1615 * CHOOSE(CONTROL!$C$22, $C$13, 100%, $E$13)</f>
        <v>17.1615</v>
      </c>
      <c r="J616" s="68">
        <f>11.0257 * CHOOSE(CONTROL!$C$22, $C$13, 100%, $E$13)</f>
        <v>11.025700000000001</v>
      </c>
      <c r="K616" s="68">
        <f>11.0304 * CHOOSE(CONTROL!$C$22, $C$13, 100%, $E$13)</f>
        <v>11.0304</v>
      </c>
    </row>
    <row r="617" spans="1:11" ht="15">
      <c r="A617" s="13">
        <v>59902</v>
      </c>
      <c r="B617" s="67">
        <f>9.6029 * CHOOSE(CONTROL!$C$22, $C$13, 100%, $E$13)</f>
        <v>9.6029</v>
      </c>
      <c r="C617" s="67">
        <f>9.6029 * CHOOSE(CONTROL!$C$22, $C$13, 100%, $E$13)</f>
        <v>9.6029</v>
      </c>
      <c r="D617" s="67">
        <f>9.6068 * CHOOSE(CONTROL!$C$22, $C$13, 100%, $E$13)</f>
        <v>9.6067999999999998</v>
      </c>
      <c r="E617" s="68">
        <f>11.1732 * CHOOSE(CONTROL!$C$22, $C$13, 100%, $E$13)</f>
        <v>11.1732</v>
      </c>
      <c r="F617" s="68">
        <f>11.1732 * CHOOSE(CONTROL!$C$22, $C$13, 100%, $E$13)</f>
        <v>11.1732</v>
      </c>
      <c r="G617" s="68">
        <f>11.178 * CHOOSE(CONTROL!$C$22, $C$13, 100%, $E$13)</f>
        <v>11.178000000000001</v>
      </c>
      <c r="H617" s="68">
        <f>17.1721* CHOOSE(CONTROL!$C$22, $C$13, 100%, $E$13)</f>
        <v>17.1721</v>
      </c>
      <c r="I617" s="68">
        <f>17.1769 * CHOOSE(CONTROL!$C$22, $C$13, 100%, $E$13)</f>
        <v>17.1769</v>
      </c>
      <c r="J617" s="68">
        <f>11.1732 * CHOOSE(CONTROL!$C$22, $C$13, 100%, $E$13)</f>
        <v>11.1732</v>
      </c>
      <c r="K617" s="68">
        <f>11.178 * CHOOSE(CONTROL!$C$22, $C$13, 100%, $E$13)</f>
        <v>11.178000000000001</v>
      </c>
    </row>
    <row r="618" spans="1:11" ht="15">
      <c r="A618" s="13">
        <v>59933</v>
      </c>
      <c r="B618" s="67">
        <f>9.5999 * CHOOSE(CONTROL!$C$22, $C$13, 100%, $E$13)</f>
        <v>9.5998999999999999</v>
      </c>
      <c r="C618" s="67">
        <f>9.5999 * CHOOSE(CONTROL!$C$22, $C$13, 100%, $E$13)</f>
        <v>9.5998999999999999</v>
      </c>
      <c r="D618" s="67">
        <f>9.6037 * CHOOSE(CONTROL!$C$22, $C$13, 100%, $E$13)</f>
        <v>9.6036999999999999</v>
      </c>
      <c r="E618" s="68">
        <f>10.9803 * CHOOSE(CONTROL!$C$22, $C$13, 100%, $E$13)</f>
        <v>10.9803</v>
      </c>
      <c r="F618" s="68">
        <f>10.9803 * CHOOSE(CONTROL!$C$22, $C$13, 100%, $E$13)</f>
        <v>10.9803</v>
      </c>
      <c r="G618" s="68">
        <f>10.9851 * CHOOSE(CONTROL!$C$22, $C$13, 100%, $E$13)</f>
        <v>10.985099999999999</v>
      </c>
      <c r="H618" s="68">
        <f>17.2079* CHOOSE(CONTROL!$C$22, $C$13, 100%, $E$13)</f>
        <v>17.207899999999999</v>
      </c>
      <c r="I618" s="68">
        <f>17.2126 * CHOOSE(CONTROL!$C$22, $C$13, 100%, $E$13)</f>
        <v>17.212599999999998</v>
      </c>
      <c r="J618" s="68">
        <f>10.9803 * CHOOSE(CONTROL!$C$22, $C$13, 100%, $E$13)</f>
        <v>10.9803</v>
      </c>
      <c r="K618" s="68">
        <f>10.9851 * CHOOSE(CONTROL!$C$22, $C$13, 100%, $E$13)</f>
        <v>10.985099999999999</v>
      </c>
    </row>
    <row r="619" spans="1:11" ht="15">
      <c r="A619" s="13">
        <v>59962</v>
      </c>
      <c r="B619" s="67">
        <f>9.5968 * CHOOSE(CONTROL!$C$22, $C$13, 100%, $E$13)</f>
        <v>9.5968</v>
      </c>
      <c r="C619" s="67">
        <f>9.5968 * CHOOSE(CONTROL!$C$22, $C$13, 100%, $E$13)</f>
        <v>9.5968</v>
      </c>
      <c r="D619" s="67">
        <f>9.6007 * CHOOSE(CONTROL!$C$22, $C$13, 100%, $E$13)</f>
        <v>9.6006999999999998</v>
      </c>
      <c r="E619" s="68">
        <f>11.1286 * CHOOSE(CONTROL!$C$22, $C$13, 100%, $E$13)</f>
        <v>11.1286</v>
      </c>
      <c r="F619" s="68">
        <f>11.1286 * CHOOSE(CONTROL!$C$22, $C$13, 100%, $E$13)</f>
        <v>11.1286</v>
      </c>
      <c r="G619" s="68">
        <f>11.1333 * CHOOSE(CONTROL!$C$22, $C$13, 100%, $E$13)</f>
        <v>11.1333</v>
      </c>
      <c r="H619" s="68">
        <f>17.2437* CHOOSE(CONTROL!$C$22, $C$13, 100%, $E$13)</f>
        <v>17.2437</v>
      </c>
      <c r="I619" s="68">
        <f>17.2485 * CHOOSE(CONTROL!$C$22, $C$13, 100%, $E$13)</f>
        <v>17.2485</v>
      </c>
      <c r="J619" s="68">
        <f>11.1286 * CHOOSE(CONTROL!$C$22, $C$13, 100%, $E$13)</f>
        <v>11.1286</v>
      </c>
      <c r="K619" s="68">
        <f>11.1333 * CHOOSE(CONTROL!$C$22, $C$13, 100%, $E$13)</f>
        <v>11.1333</v>
      </c>
    </row>
    <row r="620" spans="1:11" ht="15">
      <c r="A620" s="13">
        <v>59993</v>
      </c>
      <c r="B620" s="67">
        <f>9.5992 * CHOOSE(CONTROL!$C$22, $C$13, 100%, $E$13)</f>
        <v>9.5991999999999997</v>
      </c>
      <c r="C620" s="67">
        <f>9.5992 * CHOOSE(CONTROL!$C$22, $C$13, 100%, $E$13)</f>
        <v>9.5991999999999997</v>
      </c>
      <c r="D620" s="67">
        <f>9.6031 * CHOOSE(CONTROL!$C$22, $C$13, 100%, $E$13)</f>
        <v>9.6030999999999995</v>
      </c>
      <c r="E620" s="68">
        <f>11.2859 * CHOOSE(CONTROL!$C$22, $C$13, 100%, $E$13)</f>
        <v>11.2859</v>
      </c>
      <c r="F620" s="68">
        <f>11.2859 * CHOOSE(CONTROL!$C$22, $C$13, 100%, $E$13)</f>
        <v>11.2859</v>
      </c>
      <c r="G620" s="68">
        <f>11.2906 * CHOOSE(CONTROL!$C$22, $C$13, 100%, $E$13)</f>
        <v>11.2906</v>
      </c>
      <c r="H620" s="68">
        <f>17.2796* CHOOSE(CONTROL!$C$22, $C$13, 100%, $E$13)</f>
        <v>17.279599999999999</v>
      </c>
      <c r="I620" s="68">
        <f>17.2844 * CHOOSE(CONTROL!$C$22, $C$13, 100%, $E$13)</f>
        <v>17.284400000000002</v>
      </c>
      <c r="J620" s="68">
        <f>11.2859 * CHOOSE(CONTROL!$C$22, $C$13, 100%, $E$13)</f>
        <v>11.2859</v>
      </c>
      <c r="K620" s="68">
        <f>11.2906 * CHOOSE(CONTROL!$C$22, $C$13, 100%, $E$13)</f>
        <v>11.2906</v>
      </c>
    </row>
    <row r="621" spans="1:11" ht="15">
      <c r="A621" s="13">
        <v>60023</v>
      </c>
      <c r="B621" s="67">
        <f>9.5992 * CHOOSE(CONTROL!$C$22, $C$13, 100%, $E$13)</f>
        <v>9.5991999999999997</v>
      </c>
      <c r="C621" s="67">
        <f>9.5992 * CHOOSE(CONTROL!$C$22, $C$13, 100%, $E$13)</f>
        <v>9.5991999999999997</v>
      </c>
      <c r="D621" s="67">
        <f>9.6047 * CHOOSE(CONTROL!$C$22, $C$13, 100%, $E$13)</f>
        <v>9.6046999999999993</v>
      </c>
      <c r="E621" s="68">
        <f>11.3464 * CHOOSE(CONTROL!$C$22, $C$13, 100%, $E$13)</f>
        <v>11.346399999999999</v>
      </c>
      <c r="F621" s="68">
        <f>11.3464 * CHOOSE(CONTROL!$C$22, $C$13, 100%, $E$13)</f>
        <v>11.346399999999999</v>
      </c>
      <c r="G621" s="68">
        <f>11.3532 * CHOOSE(CONTROL!$C$22, $C$13, 100%, $E$13)</f>
        <v>11.353199999999999</v>
      </c>
      <c r="H621" s="68">
        <f>17.3156* CHOOSE(CONTROL!$C$22, $C$13, 100%, $E$13)</f>
        <v>17.3156</v>
      </c>
      <c r="I621" s="68">
        <f>17.3224 * CHOOSE(CONTROL!$C$22, $C$13, 100%, $E$13)</f>
        <v>17.322399999999998</v>
      </c>
      <c r="J621" s="68">
        <f>11.3464 * CHOOSE(CONTROL!$C$22, $C$13, 100%, $E$13)</f>
        <v>11.346399999999999</v>
      </c>
      <c r="K621" s="68">
        <f>11.3532 * CHOOSE(CONTROL!$C$22, $C$13, 100%, $E$13)</f>
        <v>11.353199999999999</v>
      </c>
    </row>
    <row r="622" spans="1:11" ht="15">
      <c r="A622" s="13">
        <v>60054</v>
      </c>
      <c r="B622" s="67">
        <f>9.6053 * CHOOSE(CONTROL!$C$22, $C$13, 100%, $E$13)</f>
        <v>9.6052999999999997</v>
      </c>
      <c r="C622" s="67">
        <f>9.6053 * CHOOSE(CONTROL!$C$22, $C$13, 100%, $E$13)</f>
        <v>9.6052999999999997</v>
      </c>
      <c r="D622" s="67">
        <f>9.6108 * CHOOSE(CONTROL!$C$22, $C$13, 100%, $E$13)</f>
        <v>9.6107999999999993</v>
      </c>
      <c r="E622" s="68">
        <f>11.2901 * CHOOSE(CONTROL!$C$22, $C$13, 100%, $E$13)</f>
        <v>11.290100000000001</v>
      </c>
      <c r="F622" s="68">
        <f>11.2901 * CHOOSE(CONTROL!$C$22, $C$13, 100%, $E$13)</f>
        <v>11.290100000000001</v>
      </c>
      <c r="G622" s="68">
        <f>11.2968 * CHOOSE(CONTROL!$C$22, $C$13, 100%, $E$13)</f>
        <v>11.296799999999999</v>
      </c>
      <c r="H622" s="68">
        <f>17.3517* CHOOSE(CONTROL!$C$22, $C$13, 100%, $E$13)</f>
        <v>17.351700000000001</v>
      </c>
      <c r="I622" s="68">
        <f>17.3584 * CHOOSE(CONTROL!$C$22, $C$13, 100%, $E$13)</f>
        <v>17.3584</v>
      </c>
      <c r="J622" s="68">
        <f>11.2901 * CHOOSE(CONTROL!$C$22, $C$13, 100%, $E$13)</f>
        <v>11.290100000000001</v>
      </c>
      <c r="K622" s="68">
        <f>11.2968 * CHOOSE(CONTROL!$C$22, $C$13, 100%, $E$13)</f>
        <v>11.296799999999999</v>
      </c>
    </row>
    <row r="623" spans="1:11" ht="15">
      <c r="A623" s="13">
        <v>60084</v>
      </c>
      <c r="B623" s="67">
        <f>9.754 * CHOOSE(CONTROL!$C$22, $C$13, 100%, $E$13)</f>
        <v>9.7539999999999996</v>
      </c>
      <c r="C623" s="67">
        <f>9.754 * CHOOSE(CONTROL!$C$22, $C$13, 100%, $E$13)</f>
        <v>9.7539999999999996</v>
      </c>
      <c r="D623" s="67">
        <f>9.7595 * CHOOSE(CONTROL!$C$22, $C$13, 100%, $E$13)</f>
        <v>9.7594999999999992</v>
      </c>
      <c r="E623" s="68">
        <f>11.4732 * CHOOSE(CONTROL!$C$22, $C$13, 100%, $E$13)</f>
        <v>11.4732</v>
      </c>
      <c r="F623" s="68">
        <f>11.4732 * CHOOSE(CONTROL!$C$22, $C$13, 100%, $E$13)</f>
        <v>11.4732</v>
      </c>
      <c r="G623" s="68">
        <f>11.4799 * CHOOSE(CONTROL!$C$22, $C$13, 100%, $E$13)</f>
        <v>11.479900000000001</v>
      </c>
      <c r="H623" s="68">
        <f>17.3879* CHOOSE(CONTROL!$C$22, $C$13, 100%, $E$13)</f>
        <v>17.387899999999998</v>
      </c>
      <c r="I623" s="68">
        <f>17.3946 * CHOOSE(CONTROL!$C$22, $C$13, 100%, $E$13)</f>
        <v>17.394600000000001</v>
      </c>
      <c r="J623" s="68">
        <f>11.4732 * CHOOSE(CONTROL!$C$22, $C$13, 100%, $E$13)</f>
        <v>11.4732</v>
      </c>
      <c r="K623" s="68">
        <f>11.4799 * CHOOSE(CONTROL!$C$22, $C$13, 100%, $E$13)</f>
        <v>11.479900000000001</v>
      </c>
    </row>
    <row r="624" spans="1:11" ht="15">
      <c r="A624" s="13">
        <v>60115</v>
      </c>
      <c r="B624" s="67">
        <f>9.7607 * CHOOSE(CONTROL!$C$22, $C$13, 100%, $E$13)</f>
        <v>9.7606999999999999</v>
      </c>
      <c r="C624" s="67">
        <f>9.7607 * CHOOSE(CONTROL!$C$22, $C$13, 100%, $E$13)</f>
        <v>9.7606999999999999</v>
      </c>
      <c r="D624" s="67">
        <f>9.7662 * CHOOSE(CONTROL!$C$22, $C$13, 100%, $E$13)</f>
        <v>9.7661999999999995</v>
      </c>
      <c r="E624" s="68">
        <f>11.2961 * CHOOSE(CONTROL!$C$22, $C$13, 100%, $E$13)</f>
        <v>11.296099999999999</v>
      </c>
      <c r="F624" s="68">
        <f>11.2961 * CHOOSE(CONTROL!$C$22, $C$13, 100%, $E$13)</f>
        <v>11.296099999999999</v>
      </c>
      <c r="G624" s="68">
        <f>11.3029 * CHOOSE(CONTROL!$C$22, $C$13, 100%, $E$13)</f>
        <v>11.302899999999999</v>
      </c>
      <c r="H624" s="68">
        <f>17.4241* CHOOSE(CONTROL!$C$22, $C$13, 100%, $E$13)</f>
        <v>17.424099999999999</v>
      </c>
      <c r="I624" s="68">
        <f>17.4308 * CHOOSE(CONTROL!$C$22, $C$13, 100%, $E$13)</f>
        <v>17.430800000000001</v>
      </c>
      <c r="J624" s="68">
        <f>11.2961 * CHOOSE(CONTROL!$C$22, $C$13, 100%, $E$13)</f>
        <v>11.296099999999999</v>
      </c>
      <c r="K624" s="68">
        <f>11.3029 * CHOOSE(CONTROL!$C$22, $C$13, 100%, $E$13)</f>
        <v>11.302899999999999</v>
      </c>
    </row>
    <row r="625" spans="1:11" ht="15">
      <c r="A625" s="13">
        <v>60146</v>
      </c>
      <c r="B625" s="67">
        <f>9.7577 * CHOOSE(CONTROL!$C$22, $C$13, 100%, $E$13)</f>
        <v>9.7576999999999998</v>
      </c>
      <c r="C625" s="67">
        <f>9.7577 * CHOOSE(CONTROL!$C$22, $C$13, 100%, $E$13)</f>
        <v>9.7576999999999998</v>
      </c>
      <c r="D625" s="67">
        <f>9.7632 * CHOOSE(CONTROL!$C$22, $C$13, 100%, $E$13)</f>
        <v>9.7631999999999994</v>
      </c>
      <c r="E625" s="68">
        <f>11.2738 * CHOOSE(CONTROL!$C$22, $C$13, 100%, $E$13)</f>
        <v>11.2738</v>
      </c>
      <c r="F625" s="68">
        <f>11.2738 * CHOOSE(CONTROL!$C$22, $C$13, 100%, $E$13)</f>
        <v>11.2738</v>
      </c>
      <c r="G625" s="68">
        <f>11.2806 * CHOOSE(CONTROL!$C$22, $C$13, 100%, $E$13)</f>
        <v>11.2806</v>
      </c>
      <c r="H625" s="68">
        <f>17.4604* CHOOSE(CONTROL!$C$22, $C$13, 100%, $E$13)</f>
        <v>17.4604</v>
      </c>
      <c r="I625" s="68">
        <f>17.4671 * CHOOSE(CONTROL!$C$22, $C$13, 100%, $E$13)</f>
        <v>17.467099999999999</v>
      </c>
      <c r="J625" s="68">
        <f>11.2738 * CHOOSE(CONTROL!$C$22, $C$13, 100%, $E$13)</f>
        <v>11.2738</v>
      </c>
      <c r="K625" s="68">
        <f>11.2806 * CHOOSE(CONTROL!$C$22, $C$13, 100%, $E$13)</f>
        <v>11.2806</v>
      </c>
    </row>
    <row r="626" spans="1:11" ht="15">
      <c r="A626" s="13">
        <v>60176</v>
      </c>
      <c r="B626" s="67">
        <f>9.7714 * CHOOSE(CONTROL!$C$22, $C$13, 100%, $E$13)</f>
        <v>9.7713999999999999</v>
      </c>
      <c r="C626" s="67">
        <f>9.7714 * CHOOSE(CONTROL!$C$22, $C$13, 100%, $E$13)</f>
        <v>9.7713999999999999</v>
      </c>
      <c r="D626" s="67">
        <f>9.7753 * CHOOSE(CONTROL!$C$22, $C$13, 100%, $E$13)</f>
        <v>9.7752999999999997</v>
      </c>
      <c r="E626" s="68">
        <f>11.3412 * CHOOSE(CONTROL!$C$22, $C$13, 100%, $E$13)</f>
        <v>11.341200000000001</v>
      </c>
      <c r="F626" s="68">
        <f>11.3412 * CHOOSE(CONTROL!$C$22, $C$13, 100%, $E$13)</f>
        <v>11.341200000000001</v>
      </c>
      <c r="G626" s="68">
        <f>11.346 * CHOOSE(CONTROL!$C$22, $C$13, 100%, $E$13)</f>
        <v>11.346</v>
      </c>
      <c r="H626" s="68">
        <f>17.4968* CHOOSE(CONTROL!$C$22, $C$13, 100%, $E$13)</f>
        <v>17.4968</v>
      </c>
      <c r="I626" s="68">
        <f>17.5015 * CHOOSE(CONTROL!$C$22, $C$13, 100%, $E$13)</f>
        <v>17.5015</v>
      </c>
      <c r="J626" s="68">
        <f>11.3412 * CHOOSE(CONTROL!$C$22, $C$13, 100%, $E$13)</f>
        <v>11.341200000000001</v>
      </c>
      <c r="K626" s="68">
        <f>11.346 * CHOOSE(CONTROL!$C$22, $C$13, 100%, $E$13)</f>
        <v>11.346</v>
      </c>
    </row>
    <row r="627" spans="1:11" ht="15">
      <c r="A627" s="13">
        <v>60207</v>
      </c>
      <c r="B627" s="67">
        <f>9.7745 * CHOOSE(CONTROL!$C$22, $C$13, 100%, $E$13)</f>
        <v>9.7744999999999997</v>
      </c>
      <c r="C627" s="67">
        <f>9.7745 * CHOOSE(CONTROL!$C$22, $C$13, 100%, $E$13)</f>
        <v>9.7744999999999997</v>
      </c>
      <c r="D627" s="67">
        <f>9.7784 * CHOOSE(CONTROL!$C$22, $C$13, 100%, $E$13)</f>
        <v>9.7783999999999995</v>
      </c>
      <c r="E627" s="68">
        <f>11.3837 * CHOOSE(CONTROL!$C$22, $C$13, 100%, $E$13)</f>
        <v>11.383699999999999</v>
      </c>
      <c r="F627" s="68">
        <f>11.3837 * CHOOSE(CONTROL!$C$22, $C$13, 100%, $E$13)</f>
        <v>11.383699999999999</v>
      </c>
      <c r="G627" s="68">
        <f>11.3884 * CHOOSE(CONTROL!$C$22, $C$13, 100%, $E$13)</f>
        <v>11.388400000000001</v>
      </c>
      <c r="H627" s="68">
        <f>17.5332* CHOOSE(CONTROL!$C$22, $C$13, 100%, $E$13)</f>
        <v>17.533200000000001</v>
      </c>
      <c r="I627" s="68">
        <f>17.538 * CHOOSE(CONTROL!$C$22, $C$13, 100%, $E$13)</f>
        <v>17.538</v>
      </c>
      <c r="J627" s="68">
        <f>11.3837 * CHOOSE(CONTROL!$C$22, $C$13, 100%, $E$13)</f>
        <v>11.383699999999999</v>
      </c>
      <c r="K627" s="68">
        <f>11.3884 * CHOOSE(CONTROL!$C$22, $C$13, 100%, $E$13)</f>
        <v>11.388400000000001</v>
      </c>
    </row>
    <row r="628" spans="1:11" ht="15">
      <c r="A628" s="13">
        <v>60237</v>
      </c>
      <c r="B628" s="67">
        <f>9.7745 * CHOOSE(CONTROL!$C$22, $C$13, 100%, $E$13)</f>
        <v>9.7744999999999997</v>
      </c>
      <c r="C628" s="67">
        <f>9.7745 * CHOOSE(CONTROL!$C$22, $C$13, 100%, $E$13)</f>
        <v>9.7744999999999997</v>
      </c>
      <c r="D628" s="67">
        <f>9.7784 * CHOOSE(CONTROL!$C$22, $C$13, 100%, $E$13)</f>
        <v>9.7783999999999995</v>
      </c>
      <c r="E628" s="68">
        <f>11.2827 * CHOOSE(CONTROL!$C$22, $C$13, 100%, $E$13)</f>
        <v>11.2827</v>
      </c>
      <c r="F628" s="68">
        <f>11.2827 * CHOOSE(CONTROL!$C$22, $C$13, 100%, $E$13)</f>
        <v>11.2827</v>
      </c>
      <c r="G628" s="68">
        <f>11.2875 * CHOOSE(CONTROL!$C$22, $C$13, 100%, $E$13)</f>
        <v>11.2875</v>
      </c>
      <c r="H628" s="68">
        <f>17.5697* CHOOSE(CONTROL!$C$22, $C$13, 100%, $E$13)</f>
        <v>17.569700000000001</v>
      </c>
      <c r="I628" s="68">
        <f>17.5745 * CHOOSE(CONTROL!$C$22, $C$13, 100%, $E$13)</f>
        <v>17.5745</v>
      </c>
      <c r="J628" s="68">
        <f>11.2827 * CHOOSE(CONTROL!$C$22, $C$13, 100%, $E$13)</f>
        <v>11.2827</v>
      </c>
      <c r="K628" s="68">
        <f>11.2875 * CHOOSE(CONTROL!$C$22, $C$13, 100%, $E$13)</f>
        <v>11.2875</v>
      </c>
    </row>
    <row r="629" spans="1:11" ht="15">
      <c r="A629" s="13">
        <v>60268</v>
      </c>
      <c r="B629" s="67">
        <f>9.8385 * CHOOSE(CONTROL!$C$22, $C$13, 100%, $E$13)</f>
        <v>9.8384999999999998</v>
      </c>
      <c r="C629" s="67">
        <f>9.8385 * CHOOSE(CONTROL!$C$22, $C$13, 100%, $E$13)</f>
        <v>9.8384999999999998</v>
      </c>
      <c r="D629" s="67">
        <f>9.8423 * CHOOSE(CONTROL!$C$22, $C$13, 100%, $E$13)</f>
        <v>9.8422999999999998</v>
      </c>
      <c r="E629" s="68">
        <f>11.4279 * CHOOSE(CONTROL!$C$22, $C$13, 100%, $E$13)</f>
        <v>11.427899999999999</v>
      </c>
      <c r="F629" s="68">
        <f>11.4279 * CHOOSE(CONTROL!$C$22, $C$13, 100%, $E$13)</f>
        <v>11.427899999999999</v>
      </c>
      <c r="G629" s="68">
        <f>11.4327 * CHOOSE(CONTROL!$C$22, $C$13, 100%, $E$13)</f>
        <v>11.432700000000001</v>
      </c>
      <c r="H629" s="68">
        <f>17.5757* CHOOSE(CONTROL!$C$22, $C$13, 100%, $E$13)</f>
        <v>17.575700000000001</v>
      </c>
      <c r="I629" s="68">
        <f>17.5805 * CHOOSE(CONTROL!$C$22, $C$13, 100%, $E$13)</f>
        <v>17.580500000000001</v>
      </c>
      <c r="J629" s="68">
        <f>11.4279 * CHOOSE(CONTROL!$C$22, $C$13, 100%, $E$13)</f>
        <v>11.427899999999999</v>
      </c>
      <c r="K629" s="68">
        <f>11.4327 * CHOOSE(CONTROL!$C$22, $C$13, 100%, $E$13)</f>
        <v>11.432700000000001</v>
      </c>
    </row>
    <row r="630" spans="1:11" ht="15">
      <c r="A630" s="13">
        <v>60299</v>
      </c>
      <c r="B630" s="67">
        <f>9.8354 * CHOOSE(CONTROL!$C$22, $C$13, 100%, $E$13)</f>
        <v>9.8353999999999999</v>
      </c>
      <c r="C630" s="67">
        <f>9.8354 * CHOOSE(CONTROL!$C$22, $C$13, 100%, $E$13)</f>
        <v>9.8353999999999999</v>
      </c>
      <c r="D630" s="67">
        <f>9.8393 * CHOOSE(CONTROL!$C$22, $C$13, 100%, $E$13)</f>
        <v>9.8392999999999997</v>
      </c>
      <c r="E630" s="68">
        <f>11.2301 * CHOOSE(CONTROL!$C$22, $C$13, 100%, $E$13)</f>
        <v>11.2301</v>
      </c>
      <c r="F630" s="68">
        <f>11.2301 * CHOOSE(CONTROL!$C$22, $C$13, 100%, $E$13)</f>
        <v>11.2301</v>
      </c>
      <c r="G630" s="68">
        <f>11.2349 * CHOOSE(CONTROL!$C$22, $C$13, 100%, $E$13)</f>
        <v>11.2349</v>
      </c>
      <c r="H630" s="68">
        <f>17.6123* CHOOSE(CONTROL!$C$22, $C$13, 100%, $E$13)</f>
        <v>17.612300000000001</v>
      </c>
      <c r="I630" s="68">
        <f>17.6171 * CHOOSE(CONTROL!$C$22, $C$13, 100%, $E$13)</f>
        <v>17.617100000000001</v>
      </c>
      <c r="J630" s="68">
        <f>11.2301 * CHOOSE(CONTROL!$C$22, $C$13, 100%, $E$13)</f>
        <v>11.2301</v>
      </c>
      <c r="K630" s="68">
        <f>11.2349 * CHOOSE(CONTROL!$C$22, $C$13, 100%, $E$13)</f>
        <v>11.2349</v>
      </c>
    </row>
    <row r="631" spans="1:11" ht="15">
      <c r="A631" s="13">
        <v>60327</v>
      </c>
      <c r="B631" s="67">
        <f>9.8324 * CHOOSE(CONTROL!$C$22, $C$13, 100%, $E$13)</f>
        <v>9.8323999999999998</v>
      </c>
      <c r="C631" s="67">
        <f>9.8324 * CHOOSE(CONTROL!$C$22, $C$13, 100%, $E$13)</f>
        <v>9.8323999999999998</v>
      </c>
      <c r="D631" s="67">
        <f>9.8363 * CHOOSE(CONTROL!$C$22, $C$13, 100%, $E$13)</f>
        <v>9.8362999999999996</v>
      </c>
      <c r="E631" s="68">
        <f>11.3823 * CHOOSE(CONTROL!$C$22, $C$13, 100%, $E$13)</f>
        <v>11.382300000000001</v>
      </c>
      <c r="F631" s="68">
        <f>11.3823 * CHOOSE(CONTROL!$C$22, $C$13, 100%, $E$13)</f>
        <v>11.382300000000001</v>
      </c>
      <c r="G631" s="68">
        <f>11.387 * CHOOSE(CONTROL!$C$22, $C$13, 100%, $E$13)</f>
        <v>11.387</v>
      </c>
      <c r="H631" s="68">
        <f>17.649* CHOOSE(CONTROL!$C$22, $C$13, 100%, $E$13)</f>
        <v>17.649000000000001</v>
      </c>
      <c r="I631" s="68">
        <f>17.6538 * CHOOSE(CONTROL!$C$22, $C$13, 100%, $E$13)</f>
        <v>17.6538</v>
      </c>
      <c r="J631" s="68">
        <f>11.3823 * CHOOSE(CONTROL!$C$22, $C$13, 100%, $E$13)</f>
        <v>11.382300000000001</v>
      </c>
      <c r="K631" s="68">
        <f>11.387 * CHOOSE(CONTROL!$C$22, $C$13, 100%, $E$13)</f>
        <v>11.387</v>
      </c>
    </row>
    <row r="632" spans="1:11" ht="15">
      <c r="A632" s="13">
        <v>60358</v>
      </c>
      <c r="B632" s="67">
        <f>9.835 * CHOOSE(CONTROL!$C$22, $C$13, 100%, $E$13)</f>
        <v>9.8350000000000009</v>
      </c>
      <c r="C632" s="67">
        <f>9.835 * CHOOSE(CONTROL!$C$22, $C$13, 100%, $E$13)</f>
        <v>9.8350000000000009</v>
      </c>
      <c r="D632" s="67">
        <f>9.8388 * CHOOSE(CONTROL!$C$22, $C$13, 100%, $E$13)</f>
        <v>9.8388000000000009</v>
      </c>
      <c r="E632" s="68">
        <f>11.5437 * CHOOSE(CONTROL!$C$22, $C$13, 100%, $E$13)</f>
        <v>11.543699999999999</v>
      </c>
      <c r="F632" s="68">
        <f>11.5437 * CHOOSE(CONTROL!$C$22, $C$13, 100%, $E$13)</f>
        <v>11.543699999999999</v>
      </c>
      <c r="G632" s="68">
        <f>11.5485 * CHOOSE(CONTROL!$C$22, $C$13, 100%, $E$13)</f>
        <v>11.548500000000001</v>
      </c>
      <c r="H632" s="68">
        <f>17.6858* CHOOSE(CONTROL!$C$22, $C$13, 100%, $E$13)</f>
        <v>17.6858</v>
      </c>
      <c r="I632" s="68">
        <f>17.6906 * CHOOSE(CONTROL!$C$22, $C$13, 100%, $E$13)</f>
        <v>17.6906</v>
      </c>
      <c r="J632" s="68">
        <f>11.5437 * CHOOSE(CONTROL!$C$22, $C$13, 100%, $E$13)</f>
        <v>11.543699999999999</v>
      </c>
      <c r="K632" s="68">
        <f>11.5485 * CHOOSE(CONTROL!$C$22, $C$13, 100%, $E$13)</f>
        <v>11.548500000000001</v>
      </c>
    </row>
    <row r="633" spans="1:11" ht="15">
      <c r="A633" s="13">
        <v>60388</v>
      </c>
      <c r="B633" s="67">
        <f>9.835 * CHOOSE(CONTROL!$C$22, $C$13, 100%, $E$13)</f>
        <v>9.8350000000000009</v>
      </c>
      <c r="C633" s="67">
        <f>9.835 * CHOOSE(CONTROL!$C$22, $C$13, 100%, $E$13)</f>
        <v>9.8350000000000009</v>
      </c>
      <c r="D633" s="67">
        <f>9.8405 * CHOOSE(CONTROL!$C$22, $C$13, 100%, $E$13)</f>
        <v>9.8405000000000005</v>
      </c>
      <c r="E633" s="68">
        <f>11.6059 * CHOOSE(CONTROL!$C$22, $C$13, 100%, $E$13)</f>
        <v>11.6059</v>
      </c>
      <c r="F633" s="68">
        <f>11.6059 * CHOOSE(CONTROL!$C$22, $C$13, 100%, $E$13)</f>
        <v>11.6059</v>
      </c>
      <c r="G633" s="68">
        <f>11.6126 * CHOOSE(CONTROL!$C$22, $C$13, 100%, $E$13)</f>
        <v>11.6126</v>
      </c>
      <c r="H633" s="68">
        <f>17.7226* CHOOSE(CONTROL!$C$22, $C$13, 100%, $E$13)</f>
        <v>17.7226</v>
      </c>
      <c r="I633" s="68">
        <f>17.7294 * CHOOSE(CONTROL!$C$22, $C$13, 100%, $E$13)</f>
        <v>17.729399999999998</v>
      </c>
      <c r="J633" s="68">
        <f>11.6059 * CHOOSE(CONTROL!$C$22, $C$13, 100%, $E$13)</f>
        <v>11.6059</v>
      </c>
      <c r="K633" s="68">
        <f>11.6126 * CHOOSE(CONTROL!$C$22, $C$13, 100%, $E$13)</f>
        <v>11.6126</v>
      </c>
    </row>
    <row r="634" spans="1:11" ht="15">
      <c r="A634" s="13">
        <v>60419</v>
      </c>
      <c r="B634" s="67">
        <f>9.841 * CHOOSE(CONTROL!$C$22, $C$13, 100%, $E$13)</f>
        <v>9.8409999999999993</v>
      </c>
      <c r="C634" s="67">
        <f>9.841 * CHOOSE(CONTROL!$C$22, $C$13, 100%, $E$13)</f>
        <v>9.8409999999999993</v>
      </c>
      <c r="D634" s="67">
        <f>9.8466 * CHOOSE(CONTROL!$C$22, $C$13, 100%, $E$13)</f>
        <v>9.8466000000000005</v>
      </c>
      <c r="E634" s="68">
        <f>11.548 * CHOOSE(CONTROL!$C$22, $C$13, 100%, $E$13)</f>
        <v>11.548</v>
      </c>
      <c r="F634" s="68">
        <f>11.548 * CHOOSE(CONTROL!$C$22, $C$13, 100%, $E$13)</f>
        <v>11.548</v>
      </c>
      <c r="G634" s="68">
        <f>11.5547 * CHOOSE(CONTROL!$C$22, $C$13, 100%, $E$13)</f>
        <v>11.5547</v>
      </c>
      <c r="H634" s="68">
        <f>17.7596* CHOOSE(CONTROL!$C$22, $C$13, 100%, $E$13)</f>
        <v>17.759599999999999</v>
      </c>
      <c r="I634" s="68">
        <f>17.7663 * CHOOSE(CONTROL!$C$22, $C$13, 100%, $E$13)</f>
        <v>17.766300000000001</v>
      </c>
      <c r="J634" s="68">
        <f>11.548 * CHOOSE(CONTROL!$C$22, $C$13, 100%, $E$13)</f>
        <v>11.548</v>
      </c>
      <c r="K634" s="68">
        <f>11.5547 * CHOOSE(CONTROL!$C$22, $C$13, 100%, $E$13)</f>
        <v>11.5547</v>
      </c>
    </row>
    <row r="635" spans="1:11" ht="15">
      <c r="A635" s="13">
        <v>60449</v>
      </c>
      <c r="B635" s="67">
        <f>9.9932 * CHOOSE(CONTROL!$C$22, $C$13, 100%, $E$13)</f>
        <v>9.9931999999999999</v>
      </c>
      <c r="C635" s="67">
        <f>9.9932 * CHOOSE(CONTROL!$C$22, $C$13, 100%, $E$13)</f>
        <v>9.9931999999999999</v>
      </c>
      <c r="D635" s="67">
        <f>9.9987 * CHOOSE(CONTROL!$C$22, $C$13, 100%, $E$13)</f>
        <v>9.9986999999999995</v>
      </c>
      <c r="E635" s="68">
        <f>11.735 * CHOOSE(CONTROL!$C$22, $C$13, 100%, $E$13)</f>
        <v>11.734999999999999</v>
      </c>
      <c r="F635" s="68">
        <f>11.735 * CHOOSE(CONTROL!$C$22, $C$13, 100%, $E$13)</f>
        <v>11.734999999999999</v>
      </c>
      <c r="G635" s="68">
        <f>11.7417 * CHOOSE(CONTROL!$C$22, $C$13, 100%, $E$13)</f>
        <v>11.7417</v>
      </c>
      <c r="H635" s="68">
        <f>17.7966* CHOOSE(CONTROL!$C$22, $C$13, 100%, $E$13)</f>
        <v>17.796600000000002</v>
      </c>
      <c r="I635" s="68">
        <f>17.8033 * CHOOSE(CONTROL!$C$22, $C$13, 100%, $E$13)</f>
        <v>17.8033</v>
      </c>
      <c r="J635" s="68">
        <f>11.735 * CHOOSE(CONTROL!$C$22, $C$13, 100%, $E$13)</f>
        <v>11.734999999999999</v>
      </c>
      <c r="K635" s="68">
        <f>11.7417 * CHOOSE(CONTROL!$C$22, $C$13, 100%, $E$13)</f>
        <v>11.7417</v>
      </c>
    </row>
    <row r="636" spans="1:11" ht="15">
      <c r="A636" s="13">
        <v>60480</v>
      </c>
      <c r="B636" s="67">
        <f>9.9999 * CHOOSE(CONTROL!$C$22, $C$13, 100%, $E$13)</f>
        <v>9.9999000000000002</v>
      </c>
      <c r="C636" s="67">
        <f>9.9999 * CHOOSE(CONTROL!$C$22, $C$13, 100%, $E$13)</f>
        <v>9.9999000000000002</v>
      </c>
      <c r="D636" s="67">
        <f>10.0054 * CHOOSE(CONTROL!$C$22, $C$13, 100%, $E$13)</f>
        <v>10.0054</v>
      </c>
      <c r="E636" s="68">
        <f>11.5532 * CHOOSE(CONTROL!$C$22, $C$13, 100%, $E$13)</f>
        <v>11.5532</v>
      </c>
      <c r="F636" s="68">
        <f>11.5532 * CHOOSE(CONTROL!$C$22, $C$13, 100%, $E$13)</f>
        <v>11.5532</v>
      </c>
      <c r="G636" s="68">
        <f>11.56 * CHOOSE(CONTROL!$C$22, $C$13, 100%, $E$13)</f>
        <v>11.56</v>
      </c>
      <c r="H636" s="68">
        <f>17.8336* CHOOSE(CONTROL!$C$22, $C$13, 100%, $E$13)</f>
        <v>17.833600000000001</v>
      </c>
      <c r="I636" s="68">
        <f>17.8404 * CHOOSE(CONTROL!$C$22, $C$13, 100%, $E$13)</f>
        <v>17.840399999999999</v>
      </c>
      <c r="J636" s="68">
        <f>11.5532 * CHOOSE(CONTROL!$C$22, $C$13, 100%, $E$13)</f>
        <v>11.5532</v>
      </c>
      <c r="K636" s="68">
        <f>11.56 * CHOOSE(CONTROL!$C$22, $C$13, 100%, $E$13)</f>
        <v>11.56</v>
      </c>
    </row>
    <row r="637" spans="1:11" ht="15">
      <c r="A637" s="13">
        <v>60511</v>
      </c>
      <c r="B637" s="67">
        <f>9.9968 * CHOOSE(CONTROL!$C$22, $C$13, 100%, $E$13)</f>
        <v>9.9968000000000004</v>
      </c>
      <c r="C637" s="67">
        <f>9.9968 * CHOOSE(CONTROL!$C$22, $C$13, 100%, $E$13)</f>
        <v>9.9968000000000004</v>
      </c>
      <c r="D637" s="67">
        <f>10.0023 * CHOOSE(CONTROL!$C$22, $C$13, 100%, $E$13)</f>
        <v>10.0023</v>
      </c>
      <c r="E637" s="68">
        <f>11.5304 * CHOOSE(CONTROL!$C$22, $C$13, 100%, $E$13)</f>
        <v>11.5304</v>
      </c>
      <c r="F637" s="68">
        <f>11.5304 * CHOOSE(CONTROL!$C$22, $C$13, 100%, $E$13)</f>
        <v>11.5304</v>
      </c>
      <c r="G637" s="68">
        <f>11.5371 * CHOOSE(CONTROL!$C$22, $C$13, 100%, $E$13)</f>
        <v>11.537100000000001</v>
      </c>
      <c r="H637" s="68">
        <f>17.8708* CHOOSE(CONTROL!$C$22, $C$13, 100%, $E$13)</f>
        <v>17.870799999999999</v>
      </c>
      <c r="I637" s="68">
        <f>17.8775 * CHOOSE(CONTROL!$C$22, $C$13, 100%, $E$13)</f>
        <v>17.877500000000001</v>
      </c>
      <c r="J637" s="68">
        <f>11.5304 * CHOOSE(CONTROL!$C$22, $C$13, 100%, $E$13)</f>
        <v>11.5304</v>
      </c>
      <c r="K637" s="68">
        <f>11.5371 * CHOOSE(CONTROL!$C$22, $C$13, 100%, $E$13)</f>
        <v>11.537100000000001</v>
      </c>
    </row>
    <row r="638" spans="1:11" ht="15">
      <c r="A638" s="13">
        <v>60541</v>
      </c>
      <c r="B638" s="67">
        <f>10.0114 * CHOOSE(CONTROL!$C$22, $C$13, 100%, $E$13)</f>
        <v>10.0114</v>
      </c>
      <c r="C638" s="67">
        <f>10.0114 * CHOOSE(CONTROL!$C$22, $C$13, 100%, $E$13)</f>
        <v>10.0114</v>
      </c>
      <c r="D638" s="67">
        <f>10.0153 * CHOOSE(CONTROL!$C$22, $C$13, 100%, $E$13)</f>
        <v>10.0153</v>
      </c>
      <c r="E638" s="68">
        <f>11.5998 * CHOOSE(CONTROL!$C$22, $C$13, 100%, $E$13)</f>
        <v>11.5998</v>
      </c>
      <c r="F638" s="68">
        <f>11.5998 * CHOOSE(CONTROL!$C$22, $C$13, 100%, $E$13)</f>
        <v>11.5998</v>
      </c>
      <c r="G638" s="68">
        <f>11.6046 * CHOOSE(CONTROL!$C$22, $C$13, 100%, $E$13)</f>
        <v>11.6046</v>
      </c>
      <c r="H638" s="68">
        <f>17.908* CHOOSE(CONTROL!$C$22, $C$13, 100%, $E$13)</f>
        <v>17.908000000000001</v>
      </c>
      <c r="I638" s="68">
        <f>17.9128 * CHOOSE(CONTROL!$C$22, $C$13, 100%, $E$13)</f>
        <v>17.912800000000001</v>
      </c>
      <c r="J638" s="68">
        <f>11.5998 * CHOOSE(CONTROL!$C$22, $C$13, 100%, $E$13)</f>
        <v>11.5998</v>
      </c>
      <c r="K638" s="68">
        <f>11.6046 * CHOOSE(CONTROL!$C$22, $C$13, 100%, $E$13)</f>
        <v>11.6046</v>
      </c>
    </row>
    <row r="639" spans="1:11" ht="15">
      <c r="A639" s="13">
        <v>60572</v>
      </c>
      <c r="B639" s="67">
        <f>10.0144 * CHOOSE(CONTROL!$C$22, $C$13, 100%, $E$13)</f>
        <v>10.0144</v>
      </c>
      <c r="C639" s="67">
        <f>10.0144 * CHOOSE(CONTROL!$C$22, $C$13, 100%, $E$13)</f>
        <v>10.0144</v>
      </c>
      <c r="D639" s="67">
        <f>10.0183 * CHOOSE(CONTROL!$C$22, $C$13, 100%, $E$13)</f>
        <v>10.0183</v>
      </c>
      <c r="E639" s="68">
        <f>11.6434 * CHOOSE(CONTROL!$C$22, $C$13, 100%, $E$13)</f>
        <v>11.6434</v>
      </c>
      <c r="F639" s="68">
        <f>11.6434 * CHOOSE(CONTROL!$C$22, $C$13, 100%, $E$13)</f>
        <v>11.6434</v>
      </c>
      <c r="G639" s="68">
        <f>11.6481 * CHOOSE(CONTROL!$C$22, $C$13, 100%, $E$13)</f>
        <v>11.648099999999999</v>
      </c>
      <c r="H639" s="68">
        <f>17.9453* CHOOSE(CONTROL!$C$22, $C$13, 100%, $E$13)</f>
        <v>17.9453</v>
      </c>
      <c r="I639" s="68">
        <f>17.9501 * CHOOSE(CONTROL!$C$22, $C$13, 100%, $E$13)</f>
        <v>17.950099999999999</v>
      </c>
      <c r="J639" s="68">
        <f>11.6434 * CHOOSE(CONTROL!$C$22, $C$13, 100%, $E$13)</f>
        <v>11.6434</v>
      </c>
      <c r="K639" s="68">
        <f>11.6481 * CHOOSE(CONTROL!$C$22, $C$13, 100%, $E$13)</f>
        <v>11.648099999999999</v>
      </c>
    </row>
    <row r="640" spans="1:11" ht="15">
      <c r="A640" s="13">
        <v>60602</v>
      </c>
      <c r="B640" s="67">
        <f>10.0144 * CHOOSE(CONTROL!$C$22, $C$13, 100%, $E$13)</f>
        <v>10.0144</v>
      </c>
      <c r="C640" s="67">
        <f>10.0144 * CHOOSE(CONTROL!$C$22, $C$13, 100%, $E$13)</f>
        <v>10.0144</v>
      </c>
      <c r="D640" s="67">
        <f>10.0183 * CHOOSE(CONTROL!$C$22, $C$13, 100%, $E$13)</f>
        <v>10.0183</v>
      </c>
      <c r="E640" s="68">
        <f>11.5398 * CHOOSE(CONTROL!$C$22, $C$13, 100%, $E$13)</f>
        <v>11.5398</v>
      </c>
      <c r="F640" s="68">
        <f>11.5398 * CHOOSE(CONTROL!$C$22, $C$13, 100%, $E$13)</f>
        <v>11.5398</v>
      </c>
      <c r="G640" s="68">
        <f>11.5446 * CHOOSE(CONTROL!$C$22, $C$13, 100%, $E$13)</f>
        <v>11.544600000000001</v>
      </c>
      <c r="H640" s="68">
        <f>17.9827* CHOOSE(CONTROL!$C$22, $C$13, 100%, $E$13)</f>
        <v>17.982700000000001</v>
      </c>
      <c r="I640" s="68">
        <f>17.9875 * CHOOSE(CONTROL!$C$22, $C$13, 100%, $E$13)</f>
        <v>17.987500000000001</v>
      </c>
      <c r="J640" s="68">
        <f>11.5398 * CHOOSE(CONTROL!$C$22, $C$13, 100%, $E$13)</f>
        <v>11.5398</v>
      </c>
      <c r="K640" s="68">
        <f>11.5446 * CHOOSE(CONTROL!$C$22, $C$13, 100%, $E$13)</f>
        <v>11.544600000000001</v>
      </c>
    </row>
    <row r="641" spans="1:11" ht="15">
      <c r="A641" s="13">
        <v>60633</v>
      </c>
      <c r="B641" s="67">
        <f>10.074 * CHOOSE(CONTROL!$C$22, $C$13, 100%, $E$13)</f>
        <v>10.074</v>
      </c>
      <c r="C641" s="67">
        <f>10.074 * CHOOSE(CONTROL!$C$22, $C$13, 100%, $E$13)</f>
        <v>10.074</v>
      </c>
      <c r="D641" s="67">
        <f>10.0779 * CHOOSE(CONTROL!$C$22, $C$13, 100%, $E$13)</f>
        <v>10.0779</v>
      </c>
      <c r="E641" s="68">
        <f>11.6826 * CHOOSE(CONTROL!$C$22, $C$13, 100%, $E$13)</f>
        <v>11.682600000000001</v>
      </c>
      <c r="F641" s="68">
        <f>11.6826 * CHOOSE(CONTROL!$C$22, $C$13, 100%, $E$13)</f>
        <v>11.682600000000001</v>
      </c>
      <c r="G641" s="68">
        <f>11.6874 * CHOOSE(CONTROL!$C$22, $C$13, 100%, $E$13)</f>
        <v>11.6874</v>
      </c>
      <c r="H641" s="68">
        <f>17.9794* CHOOSE(CONTROL!$C$22, $C$13, 100%, $E$13)</f>
        <v>17.979399999999998</v>
      </c>
      <c r="I641" s="68">
        <f>17.9841 * CHOOSE(CONTROL!$C$22, $C$13, 100%, $E$13)</f>
        <v>17.984100000000002</v>
      </c>
      <c r="J641" s="68">
        <f>11.6826 * CHOOSE(CONTROL!$C$22, $C$13, 100%, $E$13)</f>
        <v>11.682600000000001</v>
      </c>
      <c r="K641" s="68">
        <f>11.6874 * CHOOSE(CONTROL!$C$22, $C$13, 100%, $E$13)</f>
        <v>11.6874</v>
      </c>
    </row>
    <row r="642" spans="1:11" ht="15">
      <c r="A642" s="13">
        <v>60664</v>
      </c>
      <c r="B642" s="67">
        <f>10.071 * CHOOSE(CONTROL!$C$22, $C$13, 100%, $E$13)</f>
        <v>10.071</v>
      </c>
      <c r="C642" s="67">
        <f>10.071 * CHOOSE(CONTROL!$C$22, $C$13, 100%, $E$13)</f>
        <v>10.071</v>
      </c>
      <c r="D642" s="67">
        <f>10.0749 * CHOOSE(CONTROL!$C$22, $C$13, 100%, $E$13)</f>
        <v>10.0749</v>
      </c>
      <c r="E642" s="68">
        <f>11.4799 * CHOOSE(CONTROL!$C$22, $C$13, 100%, $E$13)</f>
        <v>11.479900000000001</v>
      </c>
      <c r="F642" s="68">
        <f>11.4799 * CHOOSE(CONTROL!$C$22, $C$13, 100%, $E$13)</f>
        <v>11.479900000000001</v>
      </c>
      <c r="G642" s="68">
        <f>11.4846 * CHOOSE(CONTROL!$C$22, $C$13, 100%, $E$13)</f>
        <v>11.4846</v>
      </c>
      <c r="H642" s="68">
        <f>18.0168* CHOOSE(CONTROL!$C$22, $C$13, 100%, $E$13)</f>
        <v>18.0168</v>
      </c>
      <c r="I642" s="68">
        <f>18.0216 * CHOOSE(CONTROL!$C$22, $C$13, 100%, $E$13)</f>
        <v>18.021599999999999</v>
      </c>
      <c r="J642" s="68">
        <f>11.4799 * CHOOSE(CONTROL!$C$22, $C$13, 100%, $E$13)</f>
        <v>11.479900000000001</v>
      </c>
      <c r="K642" s="68">
        <f>11.4846 * CHOOSE(CONTROL!$C$22, $C$13, 100%, $E$13)</f>
        <v>11.4846</v>
      </c>
    </row>
    <row r="643" spans="1:11" ht="15">
      <c r="A643" s="13">
        <v>60692</v>
      </c>
      <c r="B643" s="67">
        <f>10.068 * CHOOSE(CONTROL!$C$22, $C$13, 100%, $E$13)</f>
        <v>10.068</v>
      </c>
      <c r="C643" s="67">
        <f>10.068 * CHOOSE(CONTROL!$C$22, $C$13, 100%, $E$13)</f>
        <v>10.068</v>
      </c>
      <c r="D643" s="67">
        <f>10.0718 * CHOOSE(CONTROL!$C$22, $C$13, 100%, $E$13)</f>
        <v>10.0718</v>
      </c>
      <c r="E643" s="68">
        <f>11.6359 * CHOOSE(CONTROL!$C$22, $C$13, 100%, $E$13)</f>
        <v>11.635899999999999</v>
      </c>
      <c r="F643" s="68">
        <f>11.6359 * CHOOSE(CONTROL!$C$22, $C$13, 100%, $E$13)</f>
        <v>11.635899999999999</v>
      </c>
      <c r="G643" s="68">
        <f>11.6407 * CHOOSE(CONTROL!$C$22, $C$13, 100%, $E$13)</f>
        <v>11.640700000000001</v>
      </c>
      <c r="H643" s="68">
        <f>18.0543* CHOOSE(CONTROL!$C$22, $C$13, 100%, $E$13)</f>
        <v>18.054300000000001</v>
      </c>
      <c r="I643" s="68">
        <f>18.0591 * CHOOSE(CONTROL!$C$22, $C$13, 100%, $E$13)</f>
        <v>18.059100000000001</v>
      </c>
      <c r="J643" s="68">
        <f>11.6359 * CHOOSE(CONTROL!$C$22, $C$13, 100%, $E$13)</f>
        <v>11.635899999999999</v>
      </c>
      <c r="K643" s="68">
        <f>11.6407 * CHOOSE(CONTROL!$C$22, $C$13, 100%, $E$13)</f>
        <v>11.640700000000001</v>
      </c>
    </row>
    <row r="644" spans="1:11" ht="15">
      <c r="A644" s="13">
        <v>60723</v>
      </c>
      <c r="B644" s="67">
        <f>10.0707 * CHOOSE(CONTROL!$C$22, $C$13, 100%, $E$13)</f>
        <v>10.0707</v>
      </c>
      <c r="C644" s="67">
        <f>10.0707 * CHOOSE(CONTROL!$C$22, $C$13, 100%, $E$13)</f>
        <v>10.0707</v>
      </c>
      <c r="D644" s="67">
        <f>10.0746 * CHOOSE(CONTROL!$C$22, $C$13, 100%, $E$13)</f>
        <v>10.0746</v>
      </c>
      <c r="E644" s="68">
        <f>11.8016 * CHOOSE(CONTROL!$C$22, $C$13, 100%, $E$13)</f>
        <v>11.801600000000001</v>
      </c>
      <c r="F644" s="68">
        <f>11.8016 * CHOOSE(CONTROL!$C$22, $C$13, 100%, $E$13)</f>
        <v>11.801600000000001</v>
      </c>
      <c r="G644" s="68">
        <f>11.8063 * CHOOSE(CONTROL!$C$22, $C$13, 100%, $E$13)</f>
        <v>11.8063</v>
      </c>
      <c r="H644" s="68">
        <f>18.092* CHOOSE(CONTROL!$C$22, $C$13, 100%, $E$13)</f>
        <v>18.091999999999999</v>
      </c>
      <c r="I644" s="68">
        <f>18.0967 * CHOOSE(CONTROL!$C$22, $C$13, 100%, $E$13)</f>
        <v>18.096699999999998</v>
      </c>
      <c r="J644" s="68">
        <f>11.8016 * CHOOSE(CONTROL!$C$22, $C$13, 100%, $E$13)</f>
        <v>11.801600000000001</v>
      </c>
      <c r="K644" s="68">
        <f>11.8063 * CHOOSE(CONTROL!$C$22, $C$13, 100%, $E$13)</f>
        <v>11.8063</v>
      </c>
    </row>
    <row r="645" spans="1:11" ht="15">
      <c r="A645" s="13">
        <v>60753</v>
      </c>
      <c r="B645" s="67">
        <f>10.0707 * CHOOSE(CONTROL!$C$22, $C$13, 100%, $E$13)</f>
        <v>10.0707</v>
      </c>
      <c r="C645" s="67">
        <f>10.0707 * CHOOSE(CONTROL!$C$22, $C$13, 100%, $E$13)</f>
        <v>10.0707</v>
      </c>
      <c r="D645" s="67">
        <f>10.0762 * CHOOSE(CONTROL!$C$22, $C$13, 100%, $E$13)</f>
        <v>10.0762</v>
      </c>
      <c r="E645" s="68">
        <f>11.8653 * CHOOSE(CONTROL!$C$22, $C$13, 100%, $E$13)</f>
        <v>11.8653</v>
      </c>
      <c r="F645" s="68">
        <f>11.8653 * CHOOSE(CONTROL!$C$22, $C$13, 100%, $E$13)</f>
        <v>11.8653</v>
      </c>
      <c r="G645" s="68">
        <f>11.872 * CHOOSE(CONTROL!$C$22, $C$13, 100%, $E$13)</f>
        <v>11.872</v>
      </c>
      <c r="H645" s="68">
        <f>18.1297* CHOOSE(CONTROL!$C$22, $C$13, 100%, $E$13)</f>
        <v>18.1297</v>
      </c>
      <c r="I645" s="68">
        <f>18.1364 * CHOOSE(CONTROL!$C$22, $C$13, 100%, $E$13)</f>
        <v>18.136399999999998</v>
      </c>
      <c r="J645" s="68">
        <f>11.8653 * CHOOSE(CONTROL!$C$22, $C$13, 100%, $E$13)</f>
        <v>11.8653</v>
      </c>
      <c r="K645" s="68">
        <f>11.872 * CHOOSE(CONTROL!$C$22, $C$13, 100%, $E$13)</f>
        <v>11.872</v>
      </c>
    </row>
    <row r="646" spans="1:11" ht="15">
      <c r="A646" s="13">
        <v>60784</v>
      </c>
      <c r="B646" s="67">
        <f>10.0768 * CHOOSE(CONTROL!$C$22, $C$13, 100%, $E$13)</f>
        <v>10.0768</v>
      </c>
      <c r="C646" s="67">
        <f>10.0768 * CHOOSE(CONTROL!$C$22, $C$13, 100%, $E$13)</f>
        <v>10.0768</v>
      </c>
      <c r="D646" s="67">
        <f>10.0823 * CHOOSE(CONTROL!$C$22, $C$13, 100%, $E$13)</f>
        <v>10.0823</v>
      </c>
      <c r="E646" s="68">
        <f>11.8058 * CHOOSE(CONTROL!$C$22, $C$13, 100%, $E$13)</f>
        <v>11.8058</v>
      </c>
      <c r="F646" s="68">
        <f>11.8058 * CHOOSE(CONTROL!$C$22, $C$13, 100%, $E$13)</f>
        <v>11.8058</v>
      </c>
      <c r="G646" s="68">
        <f>11.8126 * CHOOSE(CONTROL!$C$22, $C$13, 100%, $E$13)</f>
        <v>11.8126</v>
      </c>
      <c r="H646" s="68">
        <f>18.1674* CHOOSE(CONTROL!$C$22, $C$13, 100%, $E$13)</f>
        <v>18.167400000000001</v>
      </c>
      <c r="I646" s="68">
        <f>18.1742 * CHOOSE(CONTROL!$C$22, $C$13, 100%, $E$13)</f>
        <v>18.174199999999999</v>
      </c>
      <c r="J646" s="68">
        <f>11.8058 * CHOOSE(CONTROL!$C$22, $C$13, 100%, $E$13)</f>
        <v>11.8058</v>
      </c>
      <c r="K646" s="68">
        <f>11.8126 * CHOOSE(CONTROL!$C$22, $C$13, 100%, $E$13)</f>
        <v>11.8126</v>
      </c>
    </row>
    <row r="647" spans="1:11" ht="15">
      <c r="A647" s="13">
        <v>60814</v>
      </c>
      <c r="B647" s="67">
        <f>10.2324 * CHOOSE(CONTROL!$C$22, $C$13, 100%, $E$13)</f>
        <v>10.2324</v>
      </c>
      <c r="C647" s="67">
        <f>10.2324 * CHOOSE(CONTROL!$C$22, $C$13, 100%, $E$13)</f>
        <v>10.2324</v>
      </c>
      <c r="D647" s="67">
        <f>10.2379 * CHOOSE(CONTROL!$C$22, $C$13, 100%, $E$13)</f>
        <v>10.2379</v>
      </c>
      <c r="E647" s="68">
        <f>11.9967 * CHOOSE(CONTROL!$C$22, $C$13, 100%, $E$13)</f>
        <v>11.996700000000001</v>
      </c>
      <c r="F647" s="68">
        <f>11.9967 * CHOOSE(CONTROL!$C$22, $C$13, 100%, $E$13)</f>
        <v>11.996700000000001</v>
      </c>
      <c r="G647" s="68">
        <f>12.0035 * CHOOSE(CONTROL!$C$22, $C$13, 100%, $E$13)</f>
        <v>12.003500000000001</v>
      </c>
      <c r="H647" s="68">
        <f>18.2053* CHOOSE(CONTROL!$C$22, $C$13, 100%, $E$13)</f>
        <v>18.205300000000001</v>
      </c>
      <c r="I647" s="68">
        <f>18.212 * CHOOSE(CONTROL!$C$22, $C$13, 100%, $E$13)</f>
        <v>18.212</v>
      </c>
      <c r="J647" s="68">
        <f>11.9967 * CHOOSE(CONTROL!$C$22, $C$13, 100%, $E$13)</f>
        <v>11.996700000000001</v>
      </c>
      <c r="K647" s="68">
        <f>12.0035 * CHOOSE(CONTROL!$C$22, $C$13, 100%, $E$13)</f>
        <v>12.003500000000001</v>
      </c>
    </row>
    <row r="648" spans="1:11" ht="15">
      <c r="A648" s="13">
        <v>60845</v>
      </c>
      <c r="B648" s="67">
        <f>10.2391 * CHOOSE(CONTROL!$C$22, $C$13, 100%, $E$13)</f>
        <v>10.239100000000001</v>
      </c>
      <c r="C648" s="67">
        <f>10.2391 * CHOOSE(CONTROL!$C$22, $C$13, 100%, $E$13)</f>
        <v>10.239100000000001</v>
      </c>
      <c r="D648" s="67">
        <f>10.2446 * CHOOSE(CONTROL!$C$22, $C$13, 100%, $E$13)</f>
        <v>10.2446</v>
      </c>
      <c r="E648" s="68">
        <f>11.8103 * CHOOSE(CONTROL!$C$22, $C$13, 100%, $E$13)</f>
        <v>11.8103</v>
      </c>
      <c r="F648" s="68">
        <f>11.8103 * CHOOSE(CONTROL!$C$22, $C$13, 100%, $E$13)</f>
        <v>11.8103</v>
      </c>
      <c r="G648" s="68">
        <f>11.817 * CHOOSE(CONTROL!$C$22, $C$13, 100%, $E$13)</f>
        <v>11.817</v>
      </c>
      <c r="H648" s="68">
        <f>18.2432* CHOOSE(CONTROL!$C$22, $C$13, 100%, $E$13)</f>
        <v>18.243200000000002</v>
      </c>
      <c r="I648" s="68">
        <f>18.2499 * CHOOSE(CONTROL!$C$22, $C$13, 100%, $E$13)</f>
        <v>18.2499</v>
      </c>
      <c r="J648" s="68">
        <f>11.8103 * CHOOSE(CONTROL!$C$22, $C$13, 100%, $E$13)</f>
        <v>11.8103</v>
      </c>
      <c r="K648" s="68">
        <f>11.817 * CHOOSE(CONTROL!$C$22, $C$13, 100%, $E$13)</f>
        <v>11.817</v>
      </c>
    </row>
    <row r="649" spans="1:11" ht="15">
      <c r="A649" s="13">
        <v>60876</v>
      </c>
      <c r="B649" s="67">
        <f>10.236 * CHOOSE(CONTROL!$C$22, $C$13, 100%, $E$13)</f>
        <v>10.236000000000001</v>
      </c>
      <c r="C649" s="67">
        <f>10.236 * CHOOSE(CONTROL!$C$22, $C$13, 100%, $E$13)</f>
        <v>10.236000000000001</v>
      </c>
      <c r="D649" s="67">
        <f>10.2415 * CHOOSE(CONTROL!$C$22, $C$13, 100%, $E$13)</f>
        <v>10.2415</v>
      </c>
      <c r="E649" s="68">
        <f>11.7869 * CHOOSE(CONTROL!$C$22, $C$13, 100%, $E$13)</f>
        <v>11.786899999999999</v>
      </c>
      <c r="F649" s="68">
        <f>11.7869 * CHOOSE(CONTROL!$C$22, $C$13, 100%, $E$13)</f>
        <v>11.786899999999999</v>
      </c>
      <c r="G649" s="68">
        <f>11.7937 * CHOOSE(CONTROL!$C$22, $C$13, 100%, $E$13)</f>
        <v>11.793699999999999</v>
      </c>
      <c r="H649" s="68">
        <f>18.2812* CHOOSE(CONTROL!$C$22, $C$13, 100%, $E$13)</f>
        <v>18.281199999999998</v>
      </c>
      <c r="I649" s="68">
        <f>18.2879 * CHOOSE(CONTROL!$C$22, $C$13, 100%, $E$13)</f>
        <v>18.2879</v>
      </c>
      <c r="J649" s="68">
        <f>11.7869 * CHOOSE(CONTROL!$C$22, $C$13, 100%, $E$13)</f>
        <v>11.786899999999999</v>
      </c>
      <c r="K649" s="68">
        <f>11.7937 * CHOOSE(CONTROL!$C$22, $C$13, 100%, $E$13)</f>
        <v>11.793699999999999</v>
      </c>
    </row>
    <row r="650" spans="1:11" ht="15">
      <c r="A650" s="13">
        <v>60906</v>
      </c>
      <c r="B650" s="67">
        <f>10.2513 * CHOOSE(CONTROL!$C$22, $C$13, 100%, $E$13)</f>
        <v>10.251300000000001</v>
      </c>
      <c r="C650" s="67">
        <f>10.2513 * CHOOSE(CONTROL!$C$22, $C$13, 100%, $E$13)</f>
        <v>10.251300000000001</v>
      </c>
      <c r="D650" s="67">
        <f>10.2552 * CHOOSE(CONTROL!$C$22, $C$13, 100%, $E$13)</f>
        <v>10.2552</v>
      </c>
      <c r="E650" s="68">
        <f>11.8585 * CHOOSE(CONTROL!$C$22, $C$13, 100%, $E$13)</f>
        <v>11.858499999999999</v>
      </c>
      <c r="F650" s="68">
        <f>11.8585 * CHOOSE(CONTROL!$C$22, $C$13, 100%, $E$13)</f>
        <v>11.858499999999999</v>
      </c>
      <c r="G650" s="68">
        <f>11.8632 * CHOOSE(CONTROL!$C$22, $C$13, 100%, $E$13)</f>
        <v>11.863200000000001</v>
      </c>
      <c r="H650" s="68">
        <f>18.3193* CHOOSE(CONTROL!$C$22, $C$13, 100%, $E$13)</f>
        <v>18.319299999999998</v>
      </c>
      <c r="I650" s="68">
        <f>18.3241 * CHOOSE(CONTROL!$C$22, $C$13, 100%, $E$13)</f>
        <v>18.324100000000001</v>
      </c>
      <c r="J650" s="68">
        <f>11.8585 * CHOOSE(CONTROL!$C$22, $C$13, 100%, $E$13)</f>
        <v>11.858499999999999</v>
      </c>
      <c r="K650" s="68">
        <f>11.8632 * CHOOSE(CONTROL!$C$22, $C$13, 100%, $E$13)</f>
        <v>11.863200000000001</v>
      </c>
    </row>
    <row r="651" spans="1:11" ht="15">
      <c r="A651" s="13">
        <v>60937</v>
      </c>
      <c r="B651" s="67">
        <f>10.2544 * CHOOSE(CONTROL!$C$22, $C$13, 100%, $E$13)</f>
        <v>10.2544</v>
      </c>
      <c r="C651" s="67">
        <f>10.2544 * CHOOSE(CONTROL!$C$22, $C$13, 100%, $E$13)</f>
        <v>10.2544</v>
      </c>
      <c r="D651" s="67">
        <f>10.2582 * CHOOSE(CONTROL!$C$22, $C$13, 100%, $E$13)</f>
        <v>10.2582</v>
      </c>
      <c r="E651" s="68">
        <f>11.903 * CHOOSE(CONTROL!$C$22, $C$13, 100%, $E$13)</f>
        <v>11.903</v>
      </c>
      <c r="F651" s="68">
        <f>11.903 * CHOOSE(CONTROL!$C$22, $C$13, 100%, $E$13)</f>
        <v>11.903</v>
      </c>
      <c r="G651" s="68">
        <f>11.9078 * CHOOSE(CONTROL!$C$22, $C$13, 100%, $E$13)</f>
        <v>11.9078</v>
      </c>
      <c r="H651" s="68">
        <f>18.3575* CHOOSE(CONTROL!$C$22, $C$13, 100%, $E$13)</f>
        <v>18.357500000000002</v>
      </c>
      <c r="I651" s="68">
        <f>18.3622 * CHOOSE(CONTROL!$C$22, $C$13, 100%, $E$13)</f>
        <v>18.362200000000001</v>
      </c>
      <c r="J651" s="68">
        <f>11.903 * CHOOSE(CONTROL!$C$22, $C$13, 100%, $E$13)</f>
        <v>11.903</v>
      </c>
      <c r="K651" s="68">
        <f>11.9078 * CHOOSE(CONTROL!$C$22, $C$13, 100%, $E$13)</f>
        <v>11.9078</v>
      </c>
    </row>
    <row r="652" spans="1:11" ht="15">
      <c r="A652" s="13">
        <v>60967</v>
      </c>
      <c r="B652" s="67">
        <f>10.2544 * CHOOSE(CONTROL!$C$22, $C$13, 100%, $E$13)</f>
        <v>10.2544</v>
      </c>
      <c r="C652" s="67">
        <f>10.2544 * CHOOSE(CONTROL!$C$22, $C$13, 100%, $E$13)</f>
        <v>10.2544</v>
      </c>
      <c r="D652" s="67">
        <f>10.2582 * CHOOSE(CONTROL!$C$22, $C$13, 100%, $E$13)</f>
        <v>10.2582</v>
      </c>
      <c r="E652" s="68">
        <f>11.7969 * CHOOSE(CONTROL!$C$22, $C$13, 100%, $E$13)</f>
        <v>11.796900000000001</v>
      </c>
      <c r="F652" s="68">
        <f>11.7969 * CHOOSE(CONTROL!$C$22, $C$13, 100%, $E$13)</f>
        <v>11.796900000000001</v>
      </c>
      <c r="G652" s="68">
        <f>11.8016 * CHOOSE(CONTROL!$C$22, $C$13, 100%, $E$13)</f>
        <v>11.801600000000001</v>
      </c>
      <c r="H652" s="68">
        <f>18.3957* CHOOSE(CONTROL!$C$22, $C$13, 100%, $E$13)</f>
        <v>18.395700000000001</v>
      </c>
      <c r="I652" s="68">
        <f>18.4005 * CHOOSE(CONTROL!$C$22, $C$13, 100%, $E$13)</f>
        <v>18.400500000000001</v>
      </c>
      <c r="J652" s="68">
        <f>11.7969 * CHOOSE(CONTROL!$C$22, $C$13, 100%, $E$13)</f>
        <v>11.796900000000001</v>
      </c>
      <c r="K652" s="68">
        <f>11.8016 * CHOOSE(CONTROL!$C$22, $C$13, 100%, $E$13)</f>
        <v>11.801600000000001</v>
      </c>
    </row>
    <row r="653" spans="1:11" ht="15">
      <c r="A653" s="13">
        <v>60998</v>
      </c>
      <c r="B653" s="67">
        <f>10.3096 * CHOOSE(CONTROL!$C$22, $C$13, 100%, $E$13)</f>
        <v>10.3096</v>
      </c>
      <c r="C653" s="67">
        <f>10.3096 * CHOOSE(CONTROL!$C$22, $C$13, 100%, $E$13)</f>
        <v>10.3096</v>
      </c>
      <c r="D653" s="67">
        <f>10.3135 * CHOOSE(CONTROL!$C$22, $C$13, 100%, $E$13)</f>
        <v>10.313499999999999</v>
      </c>
      <c r="E653" s="68">
        <f>11.9374 * CHOOSE(CONTROL!$C$22, $C$13, 100%, $E$13)</f>
        <v>11.9374</v>
      </c>
      <c r="F653" s="68">
        <f>11.9374 * CHOOSE(CONTROL!$C$22, $C$13, 100%, $E$13)</f>
        <v>11.9374</v>
      </c>
      <c r="G653" s="68">
        <f>11.9421 * CHOOSE(CONTROL!$C$22, $C$13, 100%, $E$13)</f>
        <v>11.9421</v>
      </c>
      <c r="H653" s="68">
        <f>18.383* CHOOSE(CONTROL!$C$22, $C$13, 100%, $E$13)</f>
        <v>18.382999999999999</v>
      </c>
      <c r="I653" s="68">
        <f>18.3878 * CHOOSE(CONTROL!$C$22, $C$13, 100%, $E$13)</f>
        <v>18.387799999999999</v>
      </c>
      <c r="J653" s="68">
        <f>11.9374 * CHOOSE(CONTROL!$C$22, $C$13, 100%, $E$13)</f>
        <v>11.9374</v>
      </c>
      <c r="K653" s="68">
        <f>11.9421 * CHOOSE(CONTROL!$C$22, $C$13, 100%, $E$13)</f>
        <v>11.9421</v>
      </c>
    </row>
    <row r="654" spans="1:11" ht="15">
      <c r="A654" s="13">
        <v>61029</v>
      </c>
      <c r="B654" s="67">
        <f>10.3066 * CHOOSE(CONTROL!$C$22, $C$13, 100%, $E$13)</f>
        <v>10.3066</v>
      </c>
      <c r="C654" s="67">
        <f>10.3066 * CHOOSE(CONTROL!$C$22, $C$13, 100%, $E$13)</f>
        <v>10.3066</v>
      </c>
      <c r="D654" s="67">
        <f>10.3104 * CHOOSE(CONTROL!$C$22, $C$13, 100%, $E$13)</f>
        <v>10.3104</v>
      </c>
      <c r="E654" s="68">
        <f>11.7297 * CHOOSE(CONTROL!$C$22, $C$13, 100%, $E$13)</f>
        <v>11.729699999999999</v>
      </c>
      <c r="F654" s="68">
        <f>11.7297 * CHOOSE(CONTROL!$C$22, $C$13, 100%, $E$13)</f>
        <v>11.729699999999999</v>
      </c>
      <c r="G654" s="68">
        <f>11.7344 * CHOOSE(CONTROL!$C$22, $C$13, 100%, $E$13)</f>
        <v>11.734400000000001</v>
      </c>
      <c r="H654" s="68">
        <f>18.4213* CHOOSE(CONTROL!$C$22, $C$13, 100%, $E$13)</f>
        <v>18.421299999999999</v>
      </c>
      <c r="I654" s="68">
        <f>18.4261 * CHOOSE(CONTROL!$C$22, $C$13, 100%, $E$13)</f>
        <v>18.426100000000002</v>
      </c>
      <c r="J654" s="68">
        <f>11.7297 * CHOOSE(CONTROL!$C$22, $C$13, 100%, $E$13)</f>
        <v>11.729699999999999</v>
      </c>
      <c r="K654" s="68">
        <f>11.7344 * CHOOSE(CONTROL!$C$22, $C$13, 100%, $E$13)</f>
        <v>11.734400000000001</v>
      </c>
    </row>
    <row r="655" spans="1:11" ht="15">
      <c r="A655" s="13">
        <v>61057</v>
      </c>
      <c r="B655" s="67">
        <f>10.3035 * CHOOSE(CONTROL!$C$22, $C$13, 100%, $E$13)</f>
        <v>10.3035</v>
      </c>
      <c r="C655" s="67">
        <f>10.3035 * CHOOSE(CONTROL!$C$22, $C$13, 100%, $E$13)</f>
        <v>10.3035</v>
      </c>
      <c r="D655" s="67">
        <f>10.3074 * CHOOSE(CONTROL!$C$22, $C$13, 100%, $E$13)</f>
        <v>10.307399999999999</v>
      </c>
      <c r="E655" s="68">
        <f>11.8896 * CHOOSE(CONTROL!$C$22, $C$13, 100%, $E$13)</f>
        <v>11.8896</v>
      </c>
      <c r="F655" s="68">
        <f>11.8896 * CHOOSE(CONTROL!$C$22, $C$13, 100%, $E$13)</f>
        <v>11.8896</v>
      </c>
      <c r="G655" s="68">
        <f>11.8944 * CHOOSE(CONTROL!$C$22, $C$13, 100%, $E$13)</f>
        <v>11.894399999999999</v>
      </c>
      <c r="H655" s="68">
        <f>18.4597* CHOOSE(CONTROL!$C$22, $C$13, 100%, $E$13)</f>
        <v>18.459700000000002</v>
      </c>
      <c r="I655" s="68">
        <f>18.4644 * CHOOSE(CONTROL!$C$22, $C$13, 100%, $E$13)</f>
        <v>18.464400000000001</v>
      </c>
      <c r="J655" s="68">
        <f>11.8896 * CHOOSE(CONTROL!$C$22, $C$13, 100%, $E$13)</f>
        <v>11.8896</v>
      </c>
      <c r="K655" s="68">
        <f>11.8944 * CHOOSE(CONTROL!$C$22, $C$13, 100%, $E$13)</f>
        <v>11.894399999999999</v>
      </c>
    </row>
    <row r="656" spans="1:11" ht="15">
      <c r="A656" s="13">
        <v>61088</v>
      </c>
      <c r="B656" s="67">
        <f>10.3065 * CHOOSE(CONTROL!$C$22, $C$13, 100%, $E$13)</f>
        <v>10.3065</v>
      </c>
      <c r="C656" s="67">
        <f>10.3065 * CHOOSE(CONTROL!$C$22, $C$13, 100%, $E$13)</f>
        <v>10.3065</v>
      </c>
      <c r="D656" s="67">
        <f>10.3104 * CHOOSE(CONTROL!$C$22, $C$13, 100%, $E$13)</f>
        <v>10.3104</v>
      </c>
      <c r="E656" s="68">
        <f>12.0594 * CHOOSE(CONTROL!$C$22, $C$13, 100%, $E$13)</f>
        <v>12.0594</v>
      </c>
      <c r="F656" s="68">
        <f>12.0594 * CHOOSE(CONTROL!$C$22, $C$13, 100%, $E$13)</f>
        <v>12.0594</v>
      </c>
      <c r="G656" s="68">
        <f>12.0642 * CHOOSE(CONTROL!$C$22, $C$13, 100%, $E$13)</f>
        <v>12.0642</v>
      </c>
      <c r="H656" s="68">
        <f>18.4981* CHOOSE(CONTROL!$C$22, $C$13, 100%, $E$13)</f>
        <v>18.498100000000001</v>
      </c>
      <c r="I656" s="68">
        <f>18.5029 * CHOOSE(CONTROL!$C$22, $C$13, 100%, $E$13)</f>
        <v>18.5029</v>
      </c>
      <c r="J656" s="68">
        <f>12.0594 * CHOOSE(CONTROL!$C$22, $C$13, 100%, $E$13)</f>
        <v>12.0594</v>
      </c>
      <c r="K656" s="68">
        <f>12.0642 * CHOOSE(CONTROL!$C$22, $C$13, 100%, $E$13)</f>
        <v>12.0642</v>
      </c>
    </row>
    <row r="657" spans="1:11" ht="15">
      <c r="A657" s="13">
        <v>61118</v>
      </c>
      <c r="B657" s="67">
        <f>10.3065 * CHOOSE(CONTROL!$C$22, $C$13, 100%, $E$13)</f>
        <v>10.3065</v>
      </c>
      <c r="C657" s="67">
        <f>10.3065 * CHOOSE(CONTROL!$C$22, $C$13, 100%, $E$13)</f>
        <v>10.3065</v>
      </c>
      <c r="D657" s="67">
        <f>10.312 * CHOOSE(CONTROL!$C$22, $C$13, 100%, $E$13)</f>
        <v>10.311999999999999</v>
      </c>
      <c r="E657" s="68">
        <f>12.1247 * CHOOSE(CONTROL!$C$22, $C$13, 100%, $E$13)</f>
        <v>12.124700000000001</v>
      </c>
      <c r="F657" s="68">
        <f>12.1247 * CHOOSE(CONTROL!$C$22, $C$13, 100%, $E$13)</f>
        <v>12.124700000000001</v>
      </c>
      <c r="G657" s="68">
        <f>12.1314 * CHOOSE(CONTROL!$C$22, $C$13, 100%, $E$13)</f>
        <v>12.131399999999999</v>
      </c>
      <c r="H657" s="68">
        <f>18.5367* CHOOSE(CONTROL!$C$22, $C$13, 100%, $E$13)</f>
        <v>18.5367</v>
      </c>
      <c r="I657" s="68">
        <f>18.5434 * CHOOSE(CONTROL!$C$22, $C$13, 100%, $E$13)</f>
        <v>18.543399999999998</v>
      </c>
      <c r="J657" s="68">
        <f>12.1247 * CHOOSE(CONTROL!$C$22, $C$13, 100%, $E$13)</f>
        <v>12.124700000000001</v>
      </c>
      <c r="K657" s="68">
        <f>12.1314 * CHOOSE(CONTROL!$C$22, $C$13, 100%, $E$13)</f>
        <v>12.131399999999999</v>
      </c>
    </row>
    <row r="658" spans="1:11" ht="15">
      <c r="A658" s="13">
        <v>61149</v>
      </c>
      <c r="B658" s="67">
        <f>10.3126 * CHOOSE(CONTROL!$C$22, $C$13, 100%, $E$13)</f>
        <v>10.3126</v>
      </c>
      <c r="C658" s="67">
        <f>10.3126 * CHOOSE(CONTROL!$C$22, $C$13, 100%, $E$13)</f>
        <v>10.3126</v>
      </c>
      <c r="D658" s="67">
        <f>10.3181 * CHOOSE(CONTROL!$C$22, $C$13, 100%, $E$13)</f>
        <v>10.318099999999999</v>
      </c>
      <c r="E658" s="68">
        <f>12.0637 * CHOOSE(CONTROL!$C$22, $C$13, 100%, $E$13)</f>
        <v>12.063700000000001</v>
      </c>
      <c r="F658" s="68">
        <f>12.0637 * CHOOSE(CONTROL!$C$22, $C$13, 100%, $E$13)</f>
        <v>12.063700000000001</v>
      </c>
      <c r="G658" s="68">
        <f>12.0704 * CHOOSE(CONTROL!$C$22, $C$13, 100%, $E$13)</f>
        <v>12.070399999999999</v>
      </c>
      <c r="H658" s="68">
        <f>18.5753* CHOOSE(CONTROL!$C$22, $C$13, 100%, $E$13)</f>
        <v>18.575299999999999</v>
      </c>
      <c r="I658" s="68">
        <f>18.582 * CHOOSE(CONTROL!$C$22, $C$13, 100%, $E$13)</f>
        <v>18.582000000000001</v>
      </c>
      <c r="J658" s="68">
        <f>12.0637 * CHOOSE(CONTROL!$C$22, $C$13, 100%, $E$13)</f>
        <v>12.063700000000001</v>
      </c>
      <c r="K658" s="68">
        <f>12.0704 * CHOOSE(CONTROL!$C$22, $C$13, 100%, $E$13)</f>
        <v>12.070399999999999</v>
      </c>
    </row>
    <row r="659" spans="1:11" ht="15">
      <c r="A659" s="13">
        <v>61179</v>
      </c>
      <c r="B659" s="67">
        <f>10.4716 * CHOOSE(CONTROL!$C$22, $C$13, 100%, $E$13)</f>
        <v>10.4716</v>
      </c>
      <c r="C659" s="67">
        <f>10.4716 * CHOOSE(CONTROL!$C$22, $C$13, 100%, $E$13)</f>
        <v>10.4716</v>
      </c>
      <c r="D659" s="67">
        <f>10.4771 * CHOOSE(CONTROL!$C$22, $C$13, 100%, $E$13)</f>
        <v>10.4771</v>
      </c>
      <c r="E659" s="68">
        <f>12.2585 * CHOOSE(CONTROL!$C$22, $C$13, 100%, $E$13)</f>
        <v>12.2585</v>
      </c>
      <c r="F659" s="68">
        <f>12.2585 * CHOOSE(CONTROL!$C$22, $C$13, 100%, $E$13)</f>
        <v>12.2585</v>
      </c>
      <c r="G659" s="68">
        <f>12.2653 * CHOOSE(CONTROL!$C$22, $C$13, 100%, $E$13)</f>
        <v>12.2653</v>
      </c>
      <c r="H659" s="68">
        <f>18.614* CHOOSE(CONTROL!$C$22, $C$13, 100%, $E$13)</f>
        <v>18.614000000000001</v>
      </c>
      <c r="I659" s="68">
        <f>18.6207 * CHOOSE(CONTROL!$C$22, $C$13, 100%, $E$13)</f>
        <v>18.620699999999999</v>
      </c>
      <c r="J659" s="68">
        <f>12.2585 * CHOOSE(CONTROL!$C$22, $C$13, 100%, $E$13)</f>
        <v>12.2585</v>
      </c>
      <c r="K659" s="68">
        <f>12.2653 * CHOOSE(CONTROL!$C$22, $C$13, 100%, $E$13)</f>
        <v>12.2653</v>
      </c>
    </row>
    <row r="660" spans="1:11" ht="15">
      <c r="A660" s="13">
        <v>61210</v>
      </c>
      <c r="B660" s="67">
        <f>10.4782 * CHOOSE(CONTROL!$C$22, $C$13, 100%, $E$13)</f>
        <v>10.478199999999999</v>
      </c>
      <c r="C660" s="67">
        <f>10.4782 * CHOOSE(CONTROL!$C$22, $C$13, 100%, $E$13)</f>
        <v>10.478199999999999</v>
      </c>
      <c r="D660" s="67">
        <f>10.4837 * CHOOSE(CONTROL!$C$22, $C$13, 100%, $E$13)</f>
        <v>10.483700000000001</v>
      </c>
      <c r="E660" s="68">
        <f>12.0674 * CHOOSE(CONTROL!$C$22, $C$13, 100%, $E$13)</f>
        <v>12.067399999999999</v>
      </c>
      <c r="F660" s="68">
        <f>12.0674 * CHOOSE(CONTROL!$C$22, $C$13, 100%, $E$13)</f>
        <v>12.067399999999999</v>
      </c>
      <c r="G660" s="68">
        <f>12.0741 * CHOOSE(CONTROL!$C$22, $C$13, 100%, $E$13)</f>
        <v>12.0741</v>
      </c>
      <c r="H660" s="68">
        <f>18.6528* CHOOSE(CONTROL!$C$22, $C$13, 100%, $E$13)</f>
        <v>18.652799999999999</v>
      </c>
      <c r="I660" s="68">
        <f>18.6595 * CHOOSE(CONTROL!$C$22, $C$13, 100%, $E$13)</f>
        <v>18.659500000000001</v>
      </c>
      <c r="J660" s="68">
        <f>12.0674 * CHOOSE(CONTROL!$C$22, $C$13, 100%, $E$13)</f>
        <v>12.067399999999999</v>
      </c>
      <c r="K660" s="68">
        <f>12.0741 * CHOOSE(CONTROL!$C$22, $C$13, 100%, $E$13)</f>
        <v>12.0741</v>
      </c>
    </row>
    <row r="661" spans="1:11" ht="15">
      <c r="A661" s="13">
        <v>61241</v>
      </c>
      <c r="B661" s="67">
        <f>10.4752 * CHOOSE(CONTROL!$C$22, $C$13, 100%, $E$13)</f>
        <v>10.475199999999999</v>
      </c>
      <c r="C661" s="67">
        <f>10.4752 * CHOOSE(CONTROL!$C$22, $C$13, 100%, $E$13)</f>
        <v>10.475199999999999</v>
      </c>
      <c r="D661" s="67">
        <f>10.4807 * CHOOSE(CONTROL!$C$22, $C$13, 100%, $E$13)</f>
        <v>10.480700000000001</v>
      </c>
      <c r="E661" s="68">
        <f>12.0435 * CHOOSE(CONTROL!$C$22, $C$13, 100%, $E$13)</f>
        <v>12.0435</v>
      </c>
      <c r="F661" s="68">
        <f>12.0435 * CHOOSE(CONTROL!$C$22, $C$13, 100%, $E$13)</f>
        <v>12.0435</v>
      </c>
      <c r="G661" s="68">
        <f>12.0502 * CHOOSE(CONTROL!$C$22, $C$13, 100%, $E$13)</f>
        <v>12.0502</v>
      </c>
      <c r="H661" s="68">
        <f>18.6916* CHOOSE(CONTROL!$C$22, $C$13, 100%, $E$13)</f>
        <v>18.691600000000001</v>
      </c>
      <c r="I661" s="68">
        <f>18.6984 * CHOOSE(CONTROL!$C$22, $C$13, 100%, $E$13)</f>
        <v>18.698399999999999</v>
      </c>
      <c r="J661" s="68">
        <f>12.0435 * CHOOSE(CONTROL!$C$22, $C$13, 100%, $E$13)</f>
        <v>12.0435</v>
      </c>
      <c r="K661" s="68">
        <f>12.0502 * CHOOSE(CONTROL!$C$22, $C$13, 100%, $E$13)</f>
        <v>12.0502</v>
      </c>
    </row>
    <row r="662" spans="1:11" ht="15">
      <c r="A662" s="13">
        <v>61271</v>
      </c>
      <c r="B662" s="67">
        <f>10.4913 * CHOOSE(CONTROL!$C$22, $C$13, 100%, $E$13)</f>
        <v>10.491300000000001</v>
      </c>
      <c r="C662" s="67">
        <f>10.4913 * CHOOSE(CONTROL!$C$22, $C$13, 100%, $E$13)</f>
        <v>10.491300000000001</v>
      </c>
      <c r="D662" s="67">
        <f>10.4951 * CHOOSE(CONTROL!$C$22, $C$13, 100%, $E$13)</f>
        <v>10.495100000000001</v>
      </c>
      <c r="E662" s="68">
        <f>12.1171 * CHOOSE(CONTROL!$C$22, $C$13, 100%, $E$13)</f>
        <v>12.117100000000001</v>
      </c>
      <c r="F662" s="68">
        <f>12.1171 * CHOOSE(CONTROL!$C$22, $C$13, 100%, $E$13)</f>
        <v>12.117100000000001</v>
      </c>
      <c r="G662" s="68">
        <f>12.1219 * CHOOSE(CONTROL!$C$22, $C$13, 100%, $E$13)</f>
        <v>12.1219</v>
      </c>
      <c r="H662" s="68">
        <f>18.7306* CHOOSE(CONTROL!$C$22, $C$13, 100%, $E$13)</f>
        <v>18.730599999999999</v>
      </c>
      <c r="I662" s="68">
        <f>18.7353 * CHOOSE(CONTROL!$C$22, $C$13, 100%, $E$13)</f>
        <v>18.735299999999999</v>
      </c>
      <c r="J662" s="68">
        <f>12.1171 * CHOOSE(CONTROL!$C$22, $C$13, 100%, $E$13)</f>
        <v>12.117100000000001</v>
      </c>
      <c r="K662" s="68">
        <f>12.1219 * CHOOSE(CONTROL!$C$22, $C$13, 100%, $E$13)</f>
        <v>12.1219</v>
      </c>
    </row>
    <row r="663" spans="1:11" ht="15">
      <c r="A663" s="13">
        <v>61302</v>
      </c>
      <c r="B663" s="67">
        <f>10.4943 * CHOOSE(CONTROL!$C$22, $C$13, 100%, $E$13)</f>
        <v>10.494300000000001</v>
      </c>
      <c r="C663" s="67">
        <f>10.4943 * CHOOSE(CONTROL!$C$22, $C$13, 100%, $E$13)</f>
        <v>10.494300000000001</v>
      </c>
      <c r="D663" s="67">
        <f>10.4982 * CHOOSE(CONTROL!$C$22, $C$13, 100%, $E$13)</f>
        <v>10.498200000000001</v>
      </c>
      <c r="E663" s="68">
        <f>12.1627 * CHOOSE(CONTROL!$C$22, $C$13, 100%, $E$13)</f>
        <v>12.162699999999999</v>
      </c>
      <c r="F663" s="68">
        <f>12.1627 * CHOOSE(CONTROL!$C$22, $C$13, 100%, $E$13)</f>
        <v>12.162699999999999</v>
      </c>
      <c r="G663" s="68">
        <f>12.1675 * CHOOSE(CONTROL!$C$22, $C$13, 100%, $E$13)</f>
        <v>12.1675</v>
      </c>
      <c r="H663" s="68">
        <f>18.7696* CHOOSE(CONTROL!$C$22, $C$13, 100%, $E$13)</f>
        <v>18.769600000000001</v>
      </c>
      <c r="I663" s="68">
        <f>18.7743 * CHOOSE(CONTROL!$C$22, $C$13, 100%, $E$13)</f>
        <v>18.7743</v>
      </c>
      <c r="J663" s="68">
        <f>12.1627 * CHOOSE(CONTROL!$C$22, $C$13, 100%, $E$13)</f>
        <v>12.162699999999999</v>
      </c>
      <c r="K663" s="68">
        <f>12.1675 * CHOOSE(CONTROL!$C$22, $C$13, 100%, $E$13)</f>
        <v>12.1675</v>
      </c>
    </row>
    <row r="664" spans="1:11" ht="15">
      <c r="A664" s="13">
        <v>61332</v>
      </c>
      <c r="B664" s="67">
        <f>10.4943 * CHOOSE(CONTROL!$C$22, $C$13, 100%, $E$13)</f>
        <v>10.494300000000001</v>
      </c>
      <c r="C664" s="67">
        <f>10.4943 * CHOOSE(CONTROL!$C$22, $C$13, 100%, $E$13)</f>
        <v>10.494300000000001</v>
      </c>
      <c r="D664" s="67">
        <f>10.4982 * CHOOSE(CONTROL!$C$22, $C$13, 100%, $E$13)</f>
        <v>10.498200000000001</v>
      </c>
      <c r="E664" s="68">
        <f>12.0539 * CHOOSE(CONTROL!$C$22, $C$13, 100%, $E$13)</f>
        <v>12.053900000000001</v>
      </c>
      <c r="F664" s="68">
        <f>12.0539 * CHOOSE(CONTROL!$C$22, $C$13, 100%, $E$13)</f>
        <v>12.053900000000001</v>
      </c>
      <c r="G664" s="68">
        <f>12.0587 * CHOOSE(CONTROL!$C$22, $C$13, 100%, $E$13)</f>
        <v>12.0587</v>
      </c>
      <c r="H664" s="68">
        <f>18.8087* CHOOSE(CONTROL!$C$22, $C$13, 100%, $E$13)</f>
        <v>18.808700000000002</v>
      </c>
      <c r="I664" s="68">
        <f>18.8134 * CHOOSE(CONTROL!$C$22, $C$13, 100%, $E$13)</f>
        <v>18.813400000000001</v>
      </c>
      <c r="J664" s="68">
        <f>12.0539 * CHOOSE(CONTROL!$C$22, $C$13, 100%, $E$13)</f>
        <v>12.053900000000001</v>
      </c>
      <c r="K664" s="68">
        <f>12.0587 * CHOOSE(CONTROL!$C$22, $C$13, 100%, $E$13)</f>
        <v>12.0587</v>
      </c>
    </row>
    <row r="665" spans="1:11" ht="15">
      <c r="A665" s="13">
        <v>61363</v>
      </c>
      <c r="B665" s="67">
        <f>10.5452 * CHOOSE(CONTROL!$C$22, $C$13, 100%, $E$13)</f>
        <v>10.545199999999999</v>
      </c>
      <c r="C665" s="67">
        <f>10.5452 * CHOOSE(CONTROL!$C$22, $C$13, 100%, $E$13)</f>
        <v>10.545199999999999</v>
      </c>
      <c r="D665" s="67">
        <f>10.549 * CHOOSE(CONTROL!$C$22, $C$13, 100%, $E$13)</f>
        <v>10.548999999999999</v>
      </c>
      <c r="E665" s="68">
        <f>12.1921 * CHOOSE(CONTROL!$C$22, $C$13, 100%, $E$13)</f>
        <v>12.1921</v>
      </c>
      <c r="F665" s="68">
        <f>12.1921 * CHOOSE(CONTROL!$C$22, $C$13, 100%, $E$13)</f>
        <v>12.1921</v>
      </c>
      <c r="G665" s="68">
        <f>12.1969 * CHOOSE(CONTROL!$C$22, $C$13, 100%, $E$13)</f>
        <v>12.196899999999999</v>
      </c>
      <c r="H665" s="68">
        <f>18.7866* CHOOSE(CONTROL!$C$22, $C$13, 100%, $E$13)</f>
        <v>18.7866</v>
      </c>
      <c r="I665" s="68">
        <f>18.7914 * CHOOSE(CONTROL!$C$22, $C$13, 100%, $E$13)</f>
        <v>18.791399999999999</v>
      </c>
      <c r="J665" s="68">
        <f>12.1921 * CHOOSE(CONTROL!$C$22, $C$13, 100%, $E$13)</f>
        <v>12.1921</v>
      </c>
      <c r="K665" s="68">
        <f>12.1969 * CHOOSE(CONTROL!$C$22, $C$13, 100%, $E$13)</f>
        <v>12.196899999999999</v>
      </c>
    </row>
    <row r="666" spans="1:11" ht="15">
      <c r="A666" s="13">
        <v>61394</v>
      </c>
      <c r="B666" s="67">
        <f>10.5421 * CHOOSE(CONTROL!$C$22, $C$13, 100%, $E$13)</f>
        <v>10.5421</v>
      </c>
      <c r="C666" s="67">
        <f>10.5421 * CHOOSE(CONTROL!$C$22, $C$13, 100%, $E$13)</f>
        <v>10.5421</v>
      </c>
      <c r="D666" s="67">
        <f>10.546 * CHOOSE(CONTROL!$C$22, $C$13, 100%, $E$13)</f>
        <v>10.545999999999999</v>
      </c>
      <c r="E666" s="68">
        <f>11.9794 * CHOOSE(CONTROL!$C$22, $C$13, 100%, $E$13)</f>
        <v>11.9794</v>
      </c>
      <c r="F666" s="68">
        <f>11.9794 * CHOOSE(CONTROL!$C$22, $C$13, 100%, $E$13)</f>
        <v>11.9794</v>
      </c>
      <c r="G666" s="68">
        <f>11.9842 * CHOOSE(CONTROL!$C$22, $C$13, 100%, $E$13)</f>
        <v>11.9842</v>
      </c>
      <c r="H666" s="68">
        <f>18.8258* CHOOSE(CONTROL!$C$22, $C$13, 100%, $E$13)</f>
        <v>18.825800000000001</v>
      </c>
      <c r="I666" s="68">
        <f>18.8305 * CHOOSE(CONTROL!$C$22, $C$13, 100%, $E$13)</f>
        <v>18.830500000000001</v>
      </c>
      <c r="J666" s="68">
        <f>11.9794 * CHOOSE(CONTROL!$C$22, $C$13, 100%, $E$13)</f>
        <v>11.9794</v>
      </c>
      <c r="K666" s="68">
        <f>11.9842 * CHOOSE(CONTROL!$C$22, $C$13, 100%, $E$13)</f>
        <v>11.9842</v>
      </c>
    </row>
    <row r="667" spans="1:11" ht="15">
      <c r="A667" s="13">
        <v>61423</v>
      </c>
      <c r="B667" s="67">
        <f>10.5391 * CHOOSE(CONTROL!$C$22, $C$13, 100%, $E$13)</f>
        <v>10.539099999999999</v>
      </c>
      <c r="C667" s="67">
        <f>10.5391 * CHOOSE(CONTROL!$C$22, $C$13, 100%, $E$13)</f>
        <v>10.539099999999999</v>
      </c>
      <c r="D667" s="67">
        <f>10.543 * CHOOSE(CONTROL!$C$22, $C$13, 100%, $E$13)</f>
        <v>10.542999999999999</v>
      </c>
      <c r="E667" s="68">
        <f>12.1433 * CHOOSE(CONTROL!$C$22, $C$13, 100%, $E$13)</f>
        <v>12.1433</v>
      </c>
      <c r="F667" s="68">
        <f>12.1433 * CHOOSE(CONTROL!$C$22, $C$13, 100%, $E$13)</f>
        <v>12.1433</v>
      </c>
      <c r="G667" s="68">
        <f>12.1481 * CHOOSE(CONTROL!$C$22, $C$13, 100%, $E$13)</f>
        <v>12.148099999999999</v>
      </c>
      <c r="H667" s="68">
        <f>18.865* CHOOSE(CONTROL!$C$22, $C$13, 100%, $E$13)</f>
        <v>18.864999999999998</v>
      </c>
      <c r="I667" s="68">
        <f>18.8697 * CHOOSE(CONTROL!$C$22, $C$13, 100%, $E$13)</f>
        <v>18.869700000000002</v>
      </c>
      <c r="J667" s="68">
        <f>12.1433 * CHOOSE(CONTROL!$C$22, $C$13, 100%, $E$13)</f>
        <v>12.1433</v>
      </c>
      <c r="K667" s="68">
        <f>12.1481 * CHOOSE(CONTROL!$C$22, $C$13, 100%, $E$13)</f>
        <v>12.148099999999999</v>
      </c>
    </row>
    <row r="668" spans="1:11" ht="15">
      <c r="A668" s="13">
        <v>61454</v>
      </c>
      <c r="B668" s="67">
        <f>10.5423 * CHOOSE(CONTROL!$C$22, $C$13, 100%, $E$13)</f>
        <v>10.542299999999999</v>
      </c>
      <c r="C668" s="67">
        <f>10.5423 * CHOOSE(CONTROL!$C$22, $C$13, 100%, $E$13)</f>
        <v>10.542299999999999</v>
      </c>
      <c r="D668" s="67">
        <f>10.5461 * CHOOSE(CONTROL!$C$22, $C$13, 100%, $E$13)</f>
        <v>10.546099999999999</v>
      </c>
      <c r="E668" s="68">
        <f>12.3173 * CHOOSE(CONTROL!$C$22, $C$13, 100%, $E$13)</f>
        <v>12.317299999999999</v>
      </c>
      <c r="F668" s="68">
        <f>12.3173 * CHOOSE(CONTROL!$C$22, $C$13, 100%, $E$13)</f>
        <v>12.317299999999999</v>
      </c>
      <c r="G668" s="68">
        <f>12.3221 * CHOOSE(CONTROL!$C$22, $C$13, 100%, $E$13)</f>
        <v>12.322100000000001</v>
      </c>
      <c r="H668" s="68">
        <f>18.9043* CHOOSE(CONTROL!$C$22, $C$13, 100%, $E$13)</f>
        <v>18.904299999999999</v>
      </c>
      <c r="I668" s="68">
        <f>18.9091 * CHOOSE(CONTROL!$C$22, $C$13, 100%, $E$13)</f>
        <v>18.909099999999999</v>
      </c>
      <c r="J668" s="68">
        <f>12.3173 * CHOOSE(CONTROL!$C$22, $C$13, 100%, $E$13)</f>
        <v>12.317299999999999</v>
      </c>
      <c r="K668" s="68">
        <f>12.3221 * CHOOSE(CONTROL!$C$22, $C$13, 100%, $E$13)</f>
        <v>12.322100000000001</v>
      </c>
    </row>
    <row r="669" spans="1:11" ht="15">
      <c r="A669" s="13">
        <v>61484</v>
      </c>
      <c r="B669" s="67">
        <f>10.5423 * CHOOSE(CONTROL!$C$22, $C$13, 100%, $E$13)</f>
        <v>10.542299999999999</v>
      </c>
      <c r="C669" s="67">
        <f>10.5423 * CHOOSE(CONTROL!$C$22, $C$13, 100%, $E$13)</f>
        <v>10.542299999999999</v>
      </c>
      <c r="D669" s="67">
        <f>10.5478 * CHOOSE(CONTROL!$C$22, $C$13, 100%, $E$13)</f>
        <v>10.547800000000001</v>
      </c>
      <c r="E669" s="68">
        <f>12.3841 * CHOOSE(CONTROL!$C$22, $C$13, 100%, $E$13)</f>
        <v>12.3841</v>
      </c>
      <c r="F669" s="68">
        <f>12.3841 * CHOOSE(CONTROL!$C$22, $C$13, 100%, $E$13)</f>
        <v>12.3841</v>
      </c>
      <c r="G669" s="68">
        <f>12.3909 * CHOOSE(CONTROL!$C$22, $C$13, 100%, $E$13)</f>
        <v>12.3909</v>
      </c>
      <c r="H669" s="68">
        <f>18.9437* CHOOSE(CONTROL!$C$22, $C$13, 100%, $E$13)</f>
        <v>18.9437</v>
      </c>
      <c r="I669" s="68">
        <f>18.9504 * CHOOSE(CONTROL!$C$22, $C$13, 100%, $E$13)</f>
        <v>18.950399999999998</v>
      </c>
      <c r="J669" s="68">
        <f>12.3841 * CHOOSE(CONTROL!$C$22, $C$13, 100%, $E$13)</f>
        <v>12.3841</v>
      </c>
      <c r="K669" s="68">
        <f>12.3909 * CHOOSE(CONTROL!$C$22, $C$13, 100%, $E$13)</f>
        <v>12.3909</v>
      </c>
    </row>
    <row r="670" spans="1:11" ht="15">
      <c r="A670" s="13">
        <v>61515</v>
      </c>
      <c r="B670" s="67">
        <f>10.5483 * CHOOSE(CONTROL!$C$22, $C$13, 100%, $E$13)</f>
        <v>10.548299999999999</v>
      </c>
      <c r="C670" s="67">
        <f>10.5483 * CHOOSE(CONTROL!$C$22, $C$13, 100%, $E$13)</f>
        <v>10.548299999999999</v>
      </c>
      <c r="D670" s="67">
        <f>10.5538 * CHOOSE(CONTROL!$C$22, $C$13, 100%, $E$13)</f>
        <v>10.553800000000001</v>
      </c>
      <c r="E670" s="68">
        <f>12.3215 * CHOOSE(CONTROL!$C$22, $C$13, 100%, $E$13)</f>
        <v>12.3215</v>
      </c>
      <c r="F670" s="68">
        <f>12.3215 * CHOOSE(CONTROL!$C$22, $C$13, 100%, $E$13)</f>
        <v>12.3215</v>
      </c>
      <c r="G670" s="68">
        <f>12.3283 * CHOOSE(CONTROL!$C$22, $C$13, 100%, $E$13)</f>
        <v>12.3283</v>
      </c>
      <c r="H670" s="68">
        <f>18.9831* CHOOSE(CONTROL!$C$22, $C$13, 100%, $E$13)</f>
        <v>18.9831</v>
      </c>
      <c r="I670" s="68">
        <f>18.9899 * CHOOSE(CONTROL!$C$22, $C$13, 100%, $E$13)</f>
        <v>18.989899999999999</v>
      </c>
      <c r="J670" s="68">
        <f>12.3215 * CHOOSE(CONTROL!$C$22, $C$13, 100%, $E$13)</f>
        <v>12.3215</v>
      </c>
      <c r="K670" s="68">
        <f>12.3283 * CHOOSE(CONTROL!$C$22, $C$13, 100%, $E$13)</f>
        <v>12.3283</v>
      </c>
    </row>
    <row r="671" spans="1:11" ht="15">
      <c r="A671" s="13">
        <v>61545</v>
      </c>
      <c r="B671" s="67">
        <f>10.7107 * CHOOSE(CONTROL!$C$22, $C$13, 100%, $E$13)</f>
        <v>10.710699999999999</v>
      </c>
      <c r="C671" s="67">
        <f>10.7107 * CHOOSE(CONTROL!$C$22, $C$13, 100%, $E$13)</f>
        <v>10.710699999999999</v>
      </c>
      <c r="D671" s="67">
        <f>10.7162 * CHOOSE(CONTROL!$C$22, $C$13, 100%, $E$13)</f>
        <v>10.716200000000001</v>
      </c>
      <c r="E671" s="68">
        <f>12.5203 * CHOOSE(CONTROL!$C$22, $C$13, 100%, $E$13)</f>
        <v>12.520300000000001</v>
      </c>
      <c r="F671" s="68">
        <f>12.5203 * CHOOSE(CONTROL!$C$22, $C$13, 100%, $E$13)</f>
        <v>12.520300000000001</v>
      </c>
      <c r="G671" s="68">
        <f>12.527 * CHOOSE(CONTROL!$C$22, $C$13, 100%, $E$13)</f>
        <v>12.526999999999999</v>
      </c>
      <c r="H671" s="68">
        <f>19.0227* CHOOSE(CONTROL!$C$22, $C$13, 100%, $E$13)</f>
        <v>19.0227</v>
      </c>
      <c r="I671" s="68">
        <f>19.0294 * CHOOSE(CONTROL!$C$22, $C$13, 100%, $E$13)</f>
        <v>19.029399999999999</v>
      </c>
      <c r="J671" s="68">
        <f>12.5203 * CHOOSE(CONTROL!$C$22, $C$13, 100%, $E$13)</f>
        <v>12.520300000000001</v>
      </c>
      <c r="K671" s="68">
        <f>12.527 * CHOOSE(CONTROL!$C$22, $C$13, 100%, $E$13)</f>
        <v>12.526999999999999</v>
      </c>
    </row>
    <row r="672" spans="1:11" ht="15">
      <c r="A672" s="13">
        <v>61576</v>
      </c>
      <c r="B672" s="67">
        <f>10.7174 * CHOOSE(CONTROL!$C$22, $C$13, 100%, $E$13)</f>
        <v>10.7174</v>
      </c>
      <c r="C672" s="67">
        <f>10.7174 * CHOOSE(CONTROL!$C$22, $C$13, 100%, $E$13)</f>
        <v>10.7174</v>
      </c>
      <c r="D672" s="67">
        <f>10.7229 * CHOOSE(CONTROL!$C$22, $C$13, 100%, $E$13)</f>
        <v>10.722899999999999</v>
      </c>
      <c r="E672" s="68">
        <f>12.3244 * CHOOSE(CONTROL!$C$22, $C$13, 100%, $E$13)</f>
        <v>12.324400000000001</v>
      </c>
      <c r="F672" s="68">
        <f>12.3244 * CHOOSE(CONTROL!$C$22, $C$13, 100%, $E$13)</f>
        <v>12.324400000000001</v>
      </c>
      <c r="G672" s="68">
        <f>12.3312 * CHOOSE(CONTROL!$C$22, $C$13, 100%, $E$13)</f>
        <v>12.331200000000001</v>
      </c>
      <c r="H672" s="68">
        <f>19.0623* CHOOSE(CONTROL!$C$22, $C$13, 100%, $E$13)</f>
        <v>19.0623</v>
      </c>
      <c r="I672" s="68">
        <f>19.0691 * CHOOSE(CONTROL!$C$22, $C$13, 100%, $E$13)</f>
        <v>19.069099999999999</v>
      </c>
      <c r="J672" s="68">
        <f>12.3244 * CHOOSE(CONTROL!$C$22, $C$13, 100%, $E$13)</f>
        <v>12.324400000000001</v>
      </c>
      <c r="K672" s="68">
        <f>12.3312 * CHOOSE(CONTROL!$C$22, $C$13, 100%, $E$13)</f>
        <v>12.331200000000001</v>
      </c>
    </row>
    <row r="673" spans="1:11" ht="15">
      <c r="A673" s="13">
        <v>61607</v>
      </c>
      <c r="B673" s="67">
        <f>10.7144 * CHOOSE(CONTROL!$C$22, $C$13, 100%, $E$13)</f>
        <v>10.714399999999999</v>
      </c>
      <c r="C673" s="67">
        <f>10.7144 * CHOOSE(CONTROL!$C$22, $C$13, 100%, $E$13)</f>
        <v>10.714399999999999</v>
      </c>
      <c r="D673" s="67">
        <f>10.7199 * CHOOSE(CONTROL!$C$22, $C$13, 100%, $E$13)</f>
        <v>10.719900000000001</v>
      </c>
      <c r="E673" s="68">
        <f>12.3 * CHOOSE(CONTROL!$C$22, $C$13, 100%, $E$13)</f>
        <v>12.3</v>
      </c>
      <c r="F673" s="68">
        <f>12.3 * CHOOSE(CONTROL!$C$22, $C$13, 100%, $E$13)</f>
        <v>12.3</v>
      </c>
      <c r="G673" s="68">
        <f>12.3068 * CHOOSE(CONTROL!$C$22, $C$13, 100%, $E$13)</f>
        <v>12.306800000000001</v>
      </c>
      <c r="H673" s="68">
        <f>19.102* CHOOSE(CONTROL!$C$22, $C$13, 100%, $E$13)</f>
        <v>19.102</v>
      </c>
      <c r="I673" s="68">
        <f>19.1088 * CHOOSE(CONTROL!$C$22, $C$13, 100%, $E$13)</f>
        <v>19.108799999999999</v>
      </c>
      <c r="J673" s="68">
        <f>12.3 * CHOOSE(CONTROL!$C$22, $C$13, 100%, $E$13)</f>
        <v>12.3</v>
      </c>
      <c r="K673" s="68">
        <f>12.3068 * CHOOSE(CONTROL!$C$22, $C$13, 100%, $E$13)</f>
        <v>12.306800000000001</v>
      </c>
    </row>
    <row r="674" spans="1:11" ht="15">
      <c r="A674" s="13">
        <v>61637</v>
      </c>
      <c r="B674" s="67">
        <f>10.7312 * CHOOSE(CONTROL!$C$22, $C$13, 100%, $E$13)</f>
        <v>10.731199999999999</v>
      </c>
      <c r="C674" s="67">
        <f>10.7312 * CHOOSE(CONTROL!$C$22, $C$13, 100%, $E$13)</f>
        <v>10.731199999999999</v>
      </c>
      <c r="D674" s="67">
        <f>10.7351 * CHOOSE(CONTROL!$C$22, $C$13, 100%, $E$13)</f>
        <v>10.735099999999999</v>
      </c>
      <c r="E674" s="68">
        <f>12.3757 * CHOOSE(CONTROL!$C$22, $C$13, 100%, $E$13)</f>
        <v>12.3757</v>
      </c>
      <c r="F674" s="68">
        <f>12.3757 * CHOOSE(CONTROL!$C$22, $C$13, 100%, $E$13)</f>
        <v>12.3757</v>
      </c>
      <c r="G674" s="68">
        <f>12.3805 * CHOOSE(CONTROL!$C$22, $C$13, 100%, $E$13)</f>
        <v>12.3805</v>
      </c>
      <c r="H674" s="68">
        <f>19.1418* CHOOSE(CONTROL!$C$22, $C$13, 100%, $E$13)</f>
        <v>19.1418</v>
      </c>
      <c r="I674" s="68">
        <f>19.1466 * CHOOSE(CONTROL!$C$22, $C$13, 100%, $E$13)</f>
        <v>19.146599999999999</v>
      </c>
      <c r="J674" s="68">
        <f>12.3757 * CHOOSE(CONTROL!$C$22, $C$13, 100%, $E$13)</f>
        <v>12.3757</v>
      </c>
      <c r="K674" s="68">
        <f>12.3805 * CHOOSE(CONTROL!$C$22, $C$13, 100%, $E$13)</f>
        <v>12.3805</v>
      </c>
    </row>
    <row r="675" spans="1:11" ht="15">
      <c r="A675" s="13">
        <v>61668</v>
      </c>
      <c r="B675" s="67">
        <f>10.7342 * CHOOSE(CONTROL!$C$22, $C$13, 100%, $E$13)</f>
        <v>10.7342</v>
      </c>
      <c r="C675" s="67">
        <f>10.7342 * CHOOSE(CONTROL!$C$22, $C$13, 100%, $E$13)</f>
        <v>10.7342</v>
      </c>
      <c r="D675" s="67">
        <f>10.7381 * CHOOSE(CONTROL!$C$22, $C$13, 100%, $E$13)</f>
        <v>10.738099999999999</v>
      </c>
      <c r="E675" s="68">
        <f>12.4224 * CHOOSE(CONTROL!$C$22, $C$13, 100%, $E$13)</f>
        <v>12.4224</v>
      </c>
      <c r="F675" s="68">
        <f>12.4224 * CHOOSE(CONTROL!$C$22, $C$13, 100%, $E$13)</f>
        <v>12.4224</v>
      </c>
      <c r="G675" s="68">
        <f>12.4272 * CHOOSE(CONTROL!$C$22, $C$13, 100%, $E$13)</f>
        <v>12.427199999999999</v>
      </c>
      <c r="H675" s="68">
        <f>19.1817* CHOOSE(CONTROL!$C$22, $C$13, 100%, $E$13)</f>
        <v>19.181699999999999</v>
      </c>
      <c r="I675" s="68">
        <f>19.1865 * CHOOSE(CONTROL!$C$22, $C$13, 100%, $E$13)</f>
        <v>19.186499999999999</v>
      </c>
      <c r="J675" s="68">
        <f>12.4224 * CHOOSE(CONTROL!$C$22, $C$13, 100%, $E$13)</f>
        <v>12.4224</v>
      </c>
      <c r="K675" s="68">
        <f>12.4272 * CHOOSE(CONTROL!$C$22, $C$13, 100%, $E$13)</f>
        <v>12.427199999999999</v>
      </c>
    </row>
    <row r="676" spans="1:11" ht="15">
      <c r="A676" s="13">
        <v>61698</v>
      </c>
      <c r="B676" s="67">
        <f>10.7342 * CHOOSE(CONTROL!$C$22, $C$13, 100%, $E$13)</f>
        <v>10.7342</v>
      </c>
      <c r="C676" s="67">
        <f>10.7342 * CHOOSE(CONTROL!$C$22, $C$13, 100%, $E$13)</f>
        <v>10.7342</v>
      </c>
      <c r="D676" s="67">
        <f>10.7381 * CHOOSE(CONTROL!$C$22, $C$13, 100%, $E$13)</f>
        <v>10.738099999999999</v>
      </c>
      <c r="E676" s="68">
        <f>12.311 * CHOOSE(CONTROL!$C$22, $C$13, 100%, $E$13)</f>
        <v>12.311</v>
      </c>
      <c r="F676" s="68">
        <f>12.311 * CHOOSE(CONTROL!$C$22, $C$13, 100%, $E$13)</f>
        <v>12.311</v>
      </c>
      <c r="G676" s="68">
        <f>12.3158 * CHOOSE(CONTROL!$C$22, $C$13, 100%, $E$13)</f>
        <v>12.315799999999999</v>
      </c>
      <c r="H676" s="68">
        <f>19.2217* CHOOSE(CONTROL!$C$22, $C$13, 100%, $E$13)</f>
        <v>19.221699999999998</v>
      </c>
      <c r="I676" s="68">
        <f>19.2264 * CHOOSE(CONTROL!$C$22, $C$13, 100%, $E$13)</f>
        <v>19.226400000000002</v>
      </c>
      <c r="J676" s="68">
        <f>12.311 * CHOOSE(CONTROL!$C$22, $C$13, 100%, $E$13)</f>
        <v>12.311</v>
      </c>
      <c r="K676" s="68">
        <f>12.3158 * CHOOSE(CONTROL!$C$22, $C$13, 100%, $E$13)</f>
        <v>12.315799999999999</v>
      </c>
    </row>
    <row r="677" spans="1:11" ht="15">
      <c r="A677" s="13">
        <v>61729</v>
      </c>
      <c r="B677" s="67">
        <f>10.7807 * CHOOSE(CONTROL!$C$22, $C$13, 100%, $E$13)</f>
        <v>10.7807</v>
      </c>
      <c r="C677" s="67">
        <f>10.7807 * CHOOSE(CONTROL!$C$22, $C$13, 100%, $E$13)</f>
        <v>10.7807</v>
      </c>
      <c r="D677" s="67">
        <f>10.7846 * CHOOSE(CONTROL!$C$22, $C$13, 100%, $E$13)</f>
        <v>10.784599999999999</v>
      </c>
      <c r="E677" s="68">
        <f>12.4468 * CHOOSE(CONTROL!$C$22, $C$13, 100%, $E$13)</f>
        <v>12.4468</v>
      </c>
      <c r="F677" s="68">
        <f>12.4468 * CHOOSE(CONTROL!$C$22, $C$13, 100%, $E$13)</f>
        <v>12.4468</v>
      </c>
      <c r="G677" s="68">
        <f>12.4516 * CHOOSE(CONTROL!$C$22, $C$13, 100%, $E$13)</f>
        <v>12.451599999999999</v>
      </c>
      <c r="H677" s="68">
        <f>19.1903* CHOOSE(CONTROL!$C$22, $C$13, 100%, $E$13)</f>
        <v>19.190300000000001</v>
      </c>
      <c r="I677" s="68">
        <f>19.195 * CHOOSE(CONTROL!$C$22, $C$13, 100%, $E$13)</f>
        <v>19.195</v>
      </c>
      <c r="J677" s="68">
        <f>12.4468 * CHOOSE(CONTROL!$C$22, $C$13, 100%, $E$13)</f>
        <v>12.4468</v>
      </c>
      <c r="K677" s="68">
        <f>12.4516 * CHOOSE(CONTROL!$C$22, $C$13, 100%, $E$13)</f>
        <v>12.451599999999999</v>
      </c>
    </row>
    <row r="678" spans="1:11" ht="15">
      <c r="A678" s="13">
        <v>61760</v>
      </c>
      <c r="B678" s="67">
        <f>10.7777 * CHOOSE(CONTROL!$C$22, $C$13, 100%, $E$13)</f>
        <v>10.777699999999999</v>
      </c>
      <c r="C678" s="67">
        <f>10.7777 * CHOOSE(CONTROL!$C$22, $C$13, 100%, $E$13)</f>
        <v>10.777699999999999</v>
      </c>
      <c r="D678" s="67">
        <f>10.7816 * CHOOSE(CONTROL!$C$22, $C$13, 100%, $E$13)</f>
        <v>10.781599999999999</v>
      </c>
      <c r="E678" s="68">
        <f>12.2292 * CHOOSE(CONTROL!$C$22, $C$13, 100%, $E$13)</f>
        <v>12.229200000000001</v>
      </c>
      <c r="F678" s="68">
        <f>12.2292 * CHOOSE(CONTROL!$C$22, $C$13, 100%, $E$13)</f>
        <v>12.229200000000001</v>
      </c>
      <c r="G678" s="68">
        <f>12.234 * CHOOSE(CONTROL!$C$22, $C$13, 100%, $E$13)</f>
        <v>12.234</v>
      </c>
      <c r="H678" s="68">
        <f>19.2302* CHOOSE(CONTROL!$C$22, $C$13, 100%, $E$13)</f>
        <v>19.2302</v>
      </c>
      <c r="I678" s="68">
        <f>19.235 * CHOOSE(CONTROL!$C$22, $C$13, 100%, $E$13)</f>
        <v>19.234999999999999</v>
      </c>
      <c r="J678" s="68">
        <f>12.2292 * CHOOSE(CONTROL!$C$22, $C$13, 100%, $E$13)</f>
        <v>12.229200000000001</v>
      </c>
      <c r="K678" s="68">
        <f>12.234 * CHOOSE(CONTROL!$C$22, $C$13, 100%, $E$13)</f>
        <v>12.234</v>
      </c>
    </row>
    <row r="679" spans="1:11" ht="15">
      <c r="A679" s="13">
        <v>61788</v>
      </c>
      <c r="B679" s="67">
        <f>10.7747 * CHOOSE(CONTROL!$C$22, $C$13, 100%, $E$13)</f>
        <v>10.774699999999999</v>
      </c>
      <c r="C679" s="67">
        <f>10.7747 * CHOOSE(CONTROL!$C$22, $C$13, 100%, $E$13)</f>
        <v>10.774699999999999</v>
      </c>
      <c r="D679" s="67">
        <f>10.7785 * CHOOSE(CONTROL!$C$22, $C$13, 100%, $E$13)</f>
        <v>10.778499999999999</v>
      </c>
      <c r="E679" s="68">
        <f>12.397 * CHOOSE(CONTROL!$C$22, $C$13, 100%, $E$13)</f>
        <v>12.397</v>
      </c>
      <c r="F679" s="68">
        <f>12.397 * CHOOSE(CONTROL!$C$22, $C$13, 100%, $E$13)</f>
        <v>12.397</v>
      </c>
      <c r="G679" s="68">
        <f>12.4017 * CHOOSE(CONTROL!$C$22, $C$13, 100%, $E$13)</f>
        <v>12.4017</v>
      </c>
      <c r="H679" s="68">
        <f>19.2703* CHOOSE(CONTROL!$C$22, $C$13, 100%, $E$13)</f>
        <v>19.270299999999999</v>
      </c>
      <c r="I679" s="68">
        <f>19.2751 * CHOOSE(CONTROL!$C$22, $C$13, 100%, $E$13)</f>
        <v>19.275099999999998</v>
      </c>
      <c r="J679" s="68">
        <f>12.397 * CHOOSE(CONTROL!$C$22, $C$13, 100%, $E$13)</f>
        <v>12.397</v>
      </c>
      <c r="K679" s="68">
        <f>12.4017 * CHOOSE(CONTROL!$C$22, $C$13, 100%, $E$13)</f>
        <v>12.4017</v>
      </c>
    </row>
    <row r="680" spans="1:11" ht="15">
      <c r="A680" s="13">
        <v>61819</v>
      </c>
      <c r="B680" s="67">
        <f>10.778 * CHOOSE(CONTROL!$C$22, $C$13, 100%, $E$13)</f>
        <v>10.778</v>
      </c>
      <c r="C680" s="67">
        <f>10.778 * CHOOSE(CONTROL!$C$22, $C$13, 100%, $E$13)</f>
        <v>10.778</v>
      </c>
      <c r="D680" s="67">
        <f>10.7819 * CHOOSE(CONTROL!$C$22, $C$13, 100%, $E$13)</f>
        <v>10.7819</v>
      </c>
      <c r="E680" s="68">
        <f>12.5752 * CHOOSE(CONTROL!$C$22, $C$13, 100%, $E$13)</f>
        <v>12.575200000000001</v>
      </c>
      <c r="F680" s="68">
        <f>12.5752 * CHOOSE(CONTROL!$C$22, $C$13, 100%, $E$13)</f>
        <v>12.575200000000001</v>
      </c>
      <c r="G680" s="68">
        <f>12.5799 * CHOOSE(CONTROL!$C$22, $C$13, 100%, $E$13)</f>
        <v>12.5799</v>
      </c>
      <c r="H680" s="68">
        <f>19.3104* CHOOSE(CONTROL!$C$22, $C$13, 100%, $E$13)</f>
        <v>19.310400000000001</v>
      </c>
      <c r="I680" s="68">
        <f>19.3152 * CHOOSE(CONTROL!$C$22, $C$13, 100%, $E$13)</f>
        <v>19.315200000000001</v>
      </c>
      <c r="J680" s="68">
        <f>12.5752 * CHOOSE(CONTROL!$C$22, $C$13, 100%, $E$13)</f>
        <v>12.575200000000001</v>
      </c>
      <c r="K680" s="68">
        <f>12.5799 * CHOOSE(CONTROL!$C$22, $C$13, 100%, $E$13)</f>
        <v>12.5799</v>
      </c>
    </row>
    <row r="681" spans="1:11" ht="15">
      <c r="A681" s="13">
        <v>61849</v>
      </c>
      <c r="B681" s="67">
        <f>10.778 * CHOOSE(CONTROL!$C$22, $C$13, 100%, $E$13)</f>
        <v>10.778</v>
      </c>
      <c r="C681" s="67">
        <f>10.778 * CHOOSE(CONTROL!$C$22, $C$13, 100%, $E$13)</f>
        <v>10.778</v>
      </c>
      <c r="D681" s="67">
        <f>10.7835 * CHOOSE(CONTROL!$C$22, $C$13, 100%, $E$13)</f>
        <v>10.7835</v>
      </c>
      <c r="E681" s="68">
        <f>12.6436 * CHOOSE(CONTROL!$C$22, $C$13, 100%, $E$13)</f>
        <v>12.643599999999999</v>
      </c>
      <c r="F681" s="68">
        <f>12.6436 * CHOOSE(CONTROL!$C$22, $C$13, 100%, $E$13)</f>
        <v>12.643599999999999</v>
      </c>
      <c r="G681" s="68">
        <f>12.6503 * CHOOSE(CONTROL!$C$22, $C$13, 100%, $E$13)</f>
        <v>12.6503</v>
      </c>
      <c r="H681" s="68">
        <f>19.3507* CHOOSE(CONTROL!$C$22, $C$13, 100%, $E$13)</f>
        <v>19.3507</v>
      </c>
      <c r="I681" s="68">
        <f>19.3574 * CHOOSE(CONTROL!$C$22, $C$13, 100%, $E$13)</f>
        <v>19.357399999999998</v>
      </c>
      <c r="J681" s="68">
        <f>12.6436 * CHOOSE(CONTROL!$C$22, $C$13, 100%, $E$13)</f>
        <v>12.643599999999999</v>
      </c>
      <c r="K681" s="68">
        <f>12.6503 * CHOOSE(CONTROL!$C$22, $C$13, 100%, $E$13)</f>
        <v>12.6503</v>
      </c>
    </row>
    <row r="682" spans="1:11" ht="15">
      <c r="A682" s="13">
        <v>61880</v>
      </c>
      <c r="B682" s="67">
        <f>10.7841 * CHOOSE(CONTROL!$C$22, $C$13, 100%, $E$13)</f>
        <v>10.7841</v>
      </c>
      <c r="C682" s="67">
        <f>10.7841 * CHOOSE(CONTROL!$C$22, $C$13, 100%, $E$13)</f>
        <v>10.7841</v>
      </c>
      <c r="D682" s="67">
        <f>10.7896 * CHOOSE(CONTROL!$C$22, $C$13, 100%, $E$13)</f>
        <v>10.7896</v>
      </c>
      <c r="E682" s="68">
        <f>12.5794 * CHOOSE(CONTROL!$C$22, $C$13, 100%, $E$13)</f>
        <v>12.5794</v>
      </c>
      <c r="F682" s="68">
        <f>12.5794 * CHOOSE(CONTROL!$C$22, $C$13, 100%, $E$13)</f>
        <v>12.5794</v>
      </c>
      <c r="G682" s="68">
        <f>12.5861 * CHOOSE(CONTROL!$C$22, $C$13, 100%, $E$13)</f>
        <v>12.5861</v>
      </c>
      <c r="H682" s="68">
        <f>19.391* CHOOSE(CONTROL!$C$22, $C$13, 100%, $E$13)</f>
        <v>19.390999999999998</v>
      </c>
      <c r="I682" s="68">
        <f>19.3977 * CHOOSE(CONTROL!$C$22, $C$13, 100%, $E$13)</f>
        <v>19.3977</v>
      </c>
      <c r="J682" s="68">
        <f>12.5794 * CHOOSE(CONTROL!$C$22, $C$13, 100%, $E$13)</f>
        <v>12.5794</v>
      </c>
      <c r="K682" s="68">
        <f>12.5861 * CHOOSE(CONTROL!$C$22, $C$13, 100%, $E$13)</f>
        <v>12.5861</v>
      </c>
    </row>
    <row r="683" spans="1:11" ht="15">
      <c r="A683" s="13">
        <v>61910</v>
      </c>
      <c r="B683" s="67">
        <f>10.9499 * CHOOSE(CONTROL!$C$22, $C$13, 100%, $E$13)</f>
        <v>10.9499</v>
      </c>
      <c r="C683" s="67">
        <f>10.9499 * CHOOSE(CONTROL!$C$22, $C$13, 100%, $E$13)</f>
        <v>10.9499</v>
      </c>
      <c r="D683" s="67">
        <f>10.9554 * CHOOSE(CONTROL!$C$22, $C$13, 100%, $E$13)</f>
        <v>10.955399999999999</v>
      </c>
      <c r="E683" s="68">
        <f>12.7821 * CHOOSE(CONTROL!$C$22, $C$13, 100%, $E$13)</f>
        <v>12.7821</v>
      </c>
      <c r="F683" s="68">
        <f>12.7821 * CHOOSE(CONTROL!$C$22, $C$13, 100%, $E$13)</f>
        <v>12.7821</v>
      </c>
      <c r="G683" s="68">
        <f>12.7888 * CHOOSE(CONTROL!$C$22, $C$13, 100%, $E$13)</f>
        <v>12.7888</v>
      </c>
      <c r="H683" s="68">
        <f>19.4314* CHOOSE(CONTROL!$C$22, $C$13, 100%, $E$13)</f>
        <v>19.4314</v>
      </c>
      <c r="I683" s="68">
        <f>19.4381 * CHOOSE(CONTROL!$C$22, $C$13, 100%, $E$13)</f>
        <v>19.438099999999999</v>
      </c>
      <c r="J683" s="68">
        <f>12.7821 * CHOOSE(CONTROL!$C$22, $C$13, 100%, $E$13)</f>
        <v>12.7821</v>
      </c>
      <c r="K683" s="68">
        <f>12.7888 * CHOOSE(CONTROL!$C$22, $C$13, 100%, $E$13)</f>
        <v>12.7888</v>
      </c>
    </row>
    <row r="684" spans="1:11" ht="15">
      <c r="A684" s="13">
        <v>61941</v>
      </c>
      <c r="B684" s="67">
        <f>10.9566 * CHOOSE(CONTROL!$C$22, $C$13, 100%, $E$13)</f>
        <v>10.9566</v>
      </c>
      <c r="C684" s="67">
        <f>10.9566 * CHOOSE(CONTROL!$C$22, $C$13, 100%, $E$13)</f>
        <v>10.9566</v>
      </c>
      <c r="D684" s="67">
        <f>10.9621 * CHOOSE(CONTROL!$C$22, $C$13, 100%, $E$13)</f>
        <v>10.9621</v>
      </c>
      <c r="E684" s="68">
        <f>12.5815 * CHOOSE(CONTROL!$C$22, $C$13, 100%, $E$13)</f>
        <v>12.5815</v>
      </c>
      <c r="F684" s="68">
        <f>12.5815 * CHOOSE(CONTROL!$C$22, $C$13, 100%, $E$13)</f>
        <v>12.5815</v>
      </c>
      <c r="G684" s="68">
        <f>12.5882 * CHOOSE(CONTROL!$C$22, $C$13, 100%, $E$13)</f>
        <v>12.588200000000001</v>
      </c>
      <c r="H684" s="68">
        <f>19.4719* CHOOSE(CONTROL!$C$22, $C$13, 100%, $E$13)</f>
        <v>19.471900000000002</v>
      </c>
      <c r="I684" s="68">
        <f>19.4786 * CHOOSE(CONTROL!$C$22, $C$13, 100%, $E$13)</f>
        <v>19.4786</v>
      </c>
      <c r="J684" s="68">
        <f>12.5815 * CHOOSE(CONTROL!$C$22, $C$13, 100%, $E$13)</f>
        <v>12.5815</v>
      </c>
      <c r="K684" s="68">
        <f>12.5882 * CHOOSE(CONTROL!$C$22, $C$13, 100%, $E$13)</f>
        <v>12.588200000000001</v>
      </c>
    </row>
    <row r="685" spans="1:11" ht="15">
      <c r="A685" s="13">
        <v>61972</v>
      </c>
      <c r="B685" s="67">
        <f>10.9536 * CHOOSE(CONTROL!$C$22, $C$13, 100%, $E$13)</f>
        <v>10.9536</v>
      </c>
      <c r="C685" s="67">
        <f>10.9536 * CHOOSE(CONTROL!$C$22, $C$13, 100%, $E$13)</f>
        <v>10.9536</v>
      </c>
      <c r="D685" s="67">
        <f>10.9591 * CHOOSE(CONTROL!$C$22, $C$13, 100%, $E$13)</f>
        <v>10.959099999999999</v>
      </c>
      <c r="E685" s="68">
        <f>12.5566 * CHOOSE(CONTROL!$C$22, $C$13, 100%, $E$13)</f>
        <v>12.5566</v>
      </c>
      <c r="F685" s="68">
        <f>12.5566 * CHOOSE(CONTROL!$C$22, $C$13, 100%, $E$13)</f>
        <v>12.5566</v>
      </c>
      <c r="G685" s="68">
        <f>12.5633 * CHOOSE(CONTROL!$C$22, $C$13, 100%, $E$13)</f>
        <v>12.5633</v>
      </c>
      <c r="H685" s="68">
        <f>19.5124* CHOOSE(CONTROL!$C$22, $C$13, 100%, $E$13)</f>
        <v>19.5124</v>
      </c>
      <c r="I685" s="68">
        <f>19.5192 * CHOOSE(CONTROL!$C$22, $C$13, 100%, $E$13)</f>
        <v>19.519200000000001</v>
      </c>
      <c r="J685" s="68">
        <f>12.5566 * CHOOSE(CONTROL!$C$22, $C$13, 100%, $E$13)</f>
        <v>12.5566</v>
      </c>
      <c r="K685" s="68">
        <f>12.5633 * CHOOSE(CONTROL!$C$22, $C$13, 100%, $E$13)</f>
        <v>12.5633</v>
      </c>
    </row>
    <row r="686" spans="1:11" ht="15">
      <c r="A686" s="13">
        <v>62002</v>
      </c>
      <c r="B686" s="67">
        <f>10.9711 * CHOOSE(CONTROL!$C$22, $C$13, 100%, $E$13)</f>
        <v>10.9711</v>
      </c>
      <c r="C686" s="67">
        <f>10.9711 * CHOOSE(CONTROL!$C$22, $C$13, 100%, $E$13)</f>
        <v>10.9711</v>
      </c>
      <c r="D686" s="67">
        <f>10.975 * CHOOSE(CONTROL!$C$22, $C$13, 100%, $E$13)</f>
        <v>10.975</v>
      </c>
      <c r="E686" s="68">
        <f>12.6344 * CHOOSE(CONTROL!$C$22, $C$13, 100%, $E$13)</f>
        <v>12.634399999999999</v>
      </c>
      <c r="F686" s="68">
        <f>12.6344 * CHOOSE(CONTROL!$C$22, $C$13, 100%, $E$13)</f>
        <v>12.634399999999999</v>
      </c>
      <c r="G686" s="68">
        <f>12.6391 * CHOOSE(CONTROL!$C$22, $C$13, 100%, $E$13)</f>
        <v>12.639099999999999</v>
      </c>
      <c r="H686" s="68">
        <f>19.5531* CHOOSE(CONTROL!$C$22, $C$13, 100%, $E$13)</f>
        <v>19.553100000000001</v>
      </c>
      <c r="I686" s="68">
        <f>19.5579 * CHOOSE(CONTROL!$C$22, $C$13, 100%, $E$13)</f>
        <v>19.5579</v>
      </c>
      <c r="J686" s="68">
        <f>12.6344 * CHOOSE(CONTROL!$C$22, $C$13, 100%, $E$13)</f>
        <v>12.634399999999999</v>
      </c>
      <c r="K686" s="68">
        <f>12.6391 * CHOOSE(CONTROL!$C$22, $C$13, 100%, $E$13)</f>
        <v>12.639099999999999</v>
      </c>
    </row>
    <row r="687" spans="1:11" ht="15">
      <c r="A687" s="13">
        <v>62033</v>
      </c>
      <c r="B687" s="67">
        <f>10.9742 * CHOOSE(CONTROL!$C$22, $C$13, 100%, $E$13)</f>
        <v>10.9742</v>
      </c>
      <c r="C687" s="67">
        <f>10.9742 * CHOOSE(CONTROL!$C$22, $C$13, 100%, $E$13)</f>
        <v>10.9742</v>
      </c>
      <c r="D687" s="67">
        <f>10.9781 * CHOOSE(CONTROL!$C$22, $C$13, 100%, $E$13)</f>
        <v>10.9781</v>
      </c>
      <c r="E687" s="68">
        <f>12.6821 * CHOOSE(CONTROL!$C$22, $C$13, 100%, $E$13)</f>
        <v>12.6821</v>
      </c>
      <c r="F687" s="68">
        <f>12.6821 * CHOOSE(CONTROL!$C$22, $C$13, 100%, $E$13)</f>
        <v>12.6821</v>
      </c>
      <c r="G687" s="68">
        <f>12.6869 * CHOOSE(CONTROL!$C$22, $C$13, 100%, $E$13)</f>
        <v>12.6869</v>
      </c>
      <c r="H687" s="68">
        <f>19.5938* CHOOSE(CONTROL!$C$22, $C$13, 100%, $E$13)</f>
        <v>19.593800000000002</v>
      </c>
      <c r="I687" s="68">
        <f>19.5986 * CHOOSE(CONTROL!$C$22, $C$13, 100%, $E$13)</f>
        <v>19.598600000000001</v>
      </c>
      <c r="J687" s="68">
        <f>12.6821 * CHOOSE(CONTROL!$C$22, $C$13, 100%, $E$13)</f>
        <v>12.6821</v>
      </c>
      <c r="K687" s="68">
        <f>12.6869 * CHOOSE(CONTROL!$C$22, $C$13, 100%, $E$13)</f>
        <v>12.6869</v>
      </c>
    </row>
    <row r="688" spans="1:11" ht="15">
      <c r="A688" s="13">
        <v>62063</v>
      </c>
      <c r="B688" s="67">
        <f>10.9742 * CHOOSE(CONTROL!$C$22, $C$13, 100%, $E$13)</f>
        <v>10.9742</v>
      </c>
      <c r="C688" s="67">
        <f>10.9742 * CHOOSE(CONTROL!$C$22, $C$13, 100%, $E$13)</f>
        <v>10.9742</v>
      </c>
      <c r="D688" s="67">
        <f>10.9781 * CHOOSE(CONTROL!$C$22, $C$13, 100%, $E$13)</f>
        <v>10.9781</v>
      </c>
      <c r="E688" s="68">
        <f>12.5681 * CHOOSE(CONTROL!$C$22, $C$13, 100%, $E$13)</f>
        <v>12.568099999999999</v>
      </c>
      <c r="F688" s="68">
        <f>12.5681 * CHOOSE(CONTROL!$C$22, $C$13, 100%, $E$13)</f>
        <v>12.568099999999999</v>
      </c>
      <c r="G688" s="68">
        <f>12.5729 * CHOOSE(CONTROL!$C$22, $C$13, 100%, $E$13)</f>
        <v>12.572900000000001</v>
      </c>
      <c r="H688" s="68">
        <f>19.6346* CHOOSE(CONTROL!$C$22, $C$13, 100%, $E$13)</f>
        <v>19.634599999999999</v>
      </c>
      <c r="I688" s="68">
        <f>19.6394 * CHOOSE(CONTROL!$C$22, $C$13, 100%, $E$13)</f>
        <v>19.639399999999998</v>
      </c>
      <c r="J688" s="68">
        <f>12.5681 * CHOOSE(CONTROL!$C$22, $C$13, 100%, $E$13)</f>
        <v>12.568099999999999</v>
      </c>
      <c r="K688" s="68">
        <f>12.5729 * CHOOSE(CONTROL!$C$22, $C$13, 100%, $E$13)</f>
        <v>12.572900000000001</v>
      </c>
    </row>
    <row r="689" spans="1:11" ht="15">
      <c r="A689" s="13">
        <v>62094</v>
      </c>
      <c r="B689" s="67">
        <f>11.0163 * CHOOSE(CONTROL!$C$22, $C$13, 100%, $E$13)</f>
        <v>11.016299999999999</v>
      </c>
      <c r="C689" s="67">
        <f>11.0163 * CHOOSE(CONTROL!$C$22, $C$13, 100%, $E$13)</f>
        <v>11.016299999999999</v>
      </c>
      <c r="D689" s="67">
        <f>11.0202 * CHOOSE(CONTROL!$C$22, $C$13, 100%, $E$13)</f>
        <v>11.020200000000001</v>
      </c>
      <c r="E689" s="68">
        <f>12.7015 * CHOOSE(CONTROL!$C$22, $C$13, 100%, $E$13)</f>
        <v>12.701499999999999</v>
      </c>
      <c r="F689" s="68">
        <f>12.7015 * CHOOSE(CONTROL!$C$22, $C$13, 100%, $E$13)</f>
        <v>12.701499999999999</v>
      </c>
      <c r="G689" s="68">
        <f>12.7063 * CHOOSE(CONTROL!$C$22, $C$13, 100%, $E$13)</f>
        <v>12.706300000000001</v>
      </c>
      <c r="H689" s="68">
        <f>19.5939* CHOOSE(CONTROL!$C$22, $C$13, 100%, $E$13)</f>
        <v>19.593900000000001</v>
      </c>
      <c r="I689" s="68">
        <f>19.5987 * CHOOSE(CONTROL!$C$22, $C$13, 100%, $E$13)</f>
        <v>19.598700000000001</v>
      </c>
      <c r="J689" s="68">
        <f>12.7015 * CHOOSE(CONTROL!$C$22, $C$13, 100%, $E$13)</f>
        <v>12.701499999999999</v>
      </c>
      <c r="K689" s="68">
        <f>12.7063 * CHOOSE(CONTROL!$C$22, $C$13, 100%, $E$13)</f>
        <v>12.706300000000001</v>
      </c>
    </row>
    <row r="690" spans="1:11" ht="15">
      <c r="A690" s="13">
        <v>62125</v>
      </c>
      <c r="B690" s="67">
        <f>11.0133 * CHOOSE(CONTROL!$C$22, $C$13, 100%, $E$13)</f>
        <v>11.013299999999999</v>
      </c>
      <c r="C690" s="67">
        <f>11.0133 * CHOOSE(CONTROL!$C$22, $C$13, 100%, $E$13)</f>
        <v>11.013299999999999</v>
      </c>
      <c r="D690" s="67">
        <f>11.0171 * CHOOSE(CONTROL!$C$22, $C$13, 100%, $E$13)</f>
        <v>11.017099999999999</v>
      </c>
      <c r="E690" s="68">
        <f>12.479 * CHOOSE(CONTROL!$C$22, $C$13, 100%, $E$13)</f>
        <v>12.478999999999999</v>
      </c>
      <c r="F690" s="68">
        <f>12.479 * CHOOSE(CONTROL!$C$22, $C$13, 100%, $E$13)</f>
        <v>12.478999999999999</v>
      </c>
      <c r="G690" s="68">
        <f>12.4838 * CHOOSE(CONTROL!$C$22, $C$13, 100%, $E$13)</f>
        <v>12.4838</v>
      </c>
      <c r="H690" s="68">
        <f>19.6347* CHOOSE(CONTROL!$C$22, $C$13, 100%, $E$13)</f>
        <v>19.634699999999999</v>
      </c>
      <c r="I690" s="68">
        <f>19.6395 * CHOOSE(CONTROL!$C$22, $C$13, 100%, $E$13)</f>
        <v>19.639500000000002</v>
      </c>
      <c r="J690" s="68">
        <f>12.479 * CHOOSE(CONTROL!$C$22, $C$13, 100%, $E$13)</f>
        <v>12.478999999999999</v>
      </c>
      <c r="K690" s="68">
        <f>12.4838 * CHOOSE(CONTROL!$C$22, $C$13, 100%, $E$13)</f>
        <v>12.4838</v>
      </c>
    </row>
    <row r="691" spans="1:11" ht="15">
      <c r="A691" s="13">
        <v>62153</v>
      </c>
      <c r="B691" s="67">
        <f>11.0102 * CHOOSE(CONTROL!$C$22, $C$13, 100%, $E$13)</f>
        <v>11.010199999999999</v>
      </c>
      <c r="C691" s="67">
        <f>11.0102 * CHOOSE(CONTROL!$C$22, $C$13, 100%, $E$13)</f>
        <v>11.010199999999999</v>
      </c>
      <c r="D691" s="67">
        <f>11.0141 * CHOOSE(CONTROL!$C$22, $C$13, 100%, $E$13)</f>
        <v>11.014099999999999</v>
      </c>
      <c r="E691" s="68">
        <f>12.6507 * CHOOSE(CONTROL!$C$22, $C$13, 100%, $E$13)</f>
        <v>12.650700000000001</v>
      </c>
      <c r="F691" s="68">
        <f>12.6507 * CHOOSE(CONTROL!$C$22, $C$13, 100%, $E$13)</f>
        <v>12.650700000000001</v>
      </c>
      <c r="G691" s="68">
        <f>12.6554 * CHOOSE(CONTROL!$C$22, $C$13, 100%, $E$13)</f>
        <v>12.6554</v>
      </c>
      <c r="H691" s="68">
        <f>19.6756* CHOOSE(CONTROL!$C$22, $C$13, 100%, $E$13)</f>
        <v>19.675599999999999</v>
      </c>
      <c r="I691" s="68">
        <f>19.6804 * CHOOSE(CONTROL!$C$22, $C$13, 100%, $E$13)</f>
        <v>19.680399999999999</v>
      </c>
      <c r="J691" s="68">
        <f>12.6507 * CHOOSE(CONTROL!$C$22, $C$13, 100%, $E$13)</f>
        <v>12.650700000000001</v>
      </c>
      <c r="K691" s="68">
        <f>12.6554 * CHOOSE(CONTROL!$C$22, $C$13, 100%, $E$13)</f>
        <v>12.6554</v>
      </c>
    </row>
    <row r="692" spans="1:11" ht="15">
      <c r="A692" s="13">
        <v>62184</v>
      </c>
      <c r="B692" s="67">
        <f>11.0138 * CHOOSE(CONTROL!$C$22, $C$13, 100%, $E$13)</f>
        <v>11.0138</v>
      </c>
      <c r="C692" s="67">
        <f>11.0138 * CHOOSE(CONTROL!$C$22, $C$13, 100%, $E$13)</f>
        <v>11.0138</v>
      </c>
      <c r="D692" s="67">
        <f>11.0177 * CHOOSE(CONTROL!$C$22, $C$13, 100%, $E$13)</f>
        <v>11.0177</v>
      </c>
      <c r="E692" s="68">
        <f>12.833 * CHOOSE(CONTROL!$C$22, $C$13, 100%, $E$13)</f>
        <v>12.833</v>
      </c>
      <c r="F692" s="68">
        <f>12.833 * CHOOSE(CONTROL!$C$22, $C$13, 100%, $E$13)</f>
        <v>12.833</v>
      </c>
      <c r="G692" s="68">
        <f>12.8378 * CHOOSE(CONTROL!$C$22, $C$13, 100%, $E$13)</f>
        <v>12.8378</v>
      </c>
      <c r="H692" s="68">
        <f>19.7166* CHOOSE(CONTROL!$C$22, $C$13, 100%, $E$13)</f>
        <v>19.7166</v>
      </c>
      <c r="I692" s="68">
        <f>19.7214 * CHOOSE(CONTROL!$C$22, $C$13, 100%, $E$13)</f>
        <v>19.721399999999999</v>
      </c>
      <c r="J692" s="68">
        <f>12.833 * CHOOSE(CONTROL!$C$22, $C$13, 100%, $E$13)</f>
        <v>12.833</v>
      </c>
      <c r="K692" s="68">
        <f>12.8378 * CHOOSE(CONTROL!$C$22, $C$13, 100%, $E$13)</f>
        <v>12.8378</v>
      </c>
    </row>
    <row r="693" spans="1:11" ht="15">
      <c r="A693" s="13">
        <v>62214</v>
      </c>
      <c r="B693" s="67">
        <f>11.0138 * CHOOSE(CONTROL!$C$22, $C$13, 100%, $E$13)</f>
        <v>11.0138</v>
      </c>
      <c r="C693" s="67">
        <f>11.0138 * CHOOSE(CONTROL!$C$22, $C$13, 100%, $E$13)</f>
        <v>11.0138</v>
      </c>
      <c r="D693" s="67">
        <f>11.0193 * CHOOSE(CONTROL!$C$22, $C$13, 100%, $E$13)</f>
        <v>11.019299999999999</v>
      </c>
      <c r="E693" s="68">
        <f>12.903 * CHOOSE(CONTROL!$C$22, $C$13, 100%, $E$13)</f>
        <v>12.903</v>
      </c>
      <c r="F693" s="68">
        <f>12.903 * CHOOSE(CONTROL!$C$22, $C$13, 100%, $E$13)</f>
        <v>12.903</v>
      </c>
      <c r="G693" s="68">
        <f>12.9097 * CHOOSE(CONTROL!$C$22, $C$13, 100%, $E$13)</f>
        <v>12.909700000000001</v>
      </c>
      <c r="H693" s="68">
        <f>19.7577* CHOOSE(CONTROL!$C$22, $C$13, 100%, $E$13)</f>
        <v>19.7577</v>
      </c>
      <c r="I693" s="68">
        <f>19.7644 * CHOOSE(CONTROL!$C$22, $C$13, 100%, $E$13)</f>
        <v>19.764399999999998</v>
      </c>
      <c r="J693" s="68">
        <f>12.903 * CHOOSE(CONTROL!$C$22, $C$13, 100%, $E$13)</f>
        <v>12.903</v>
      </c>
      <c r="K693" s="68">
        <f>12.9097 * CHOOSE(CONTROL!$C$22, $C$13, 100%, $E$13)</f>
        <v>12.909700000000001</v>
      </c>
    </row>
    <row r="694" spans="1:11" ht="15">
      <c r="A694" s="13">
        <v>62245</v>
      </c>
      <c r="B694" s="67">
        <f>11.0199 * CHOOSE(CONTROL!$C$22, $C$13, 100%, $E$13)</f>
        <v>11.0199</v>
      </c>
      <c r="C694" s="67">
        <f>11.0199 * CHOOSE(CONTROL!$C$22, $C$13, 100%, $E$13)</f>
        <v>11.0199</v>
      </c>
      <c r="D694" s="67">
        <f>11.0254 * CHOOSE(CONTROL!$C$22, $C$13, 100%, $E$13)</f>
        <v>11.025399999999999</v>
      </c>
      <c r="E694" s="68">
        <f>12.8373 * CHOOSE(CONTROL!$C$22, $C$13, 100%, $E$13)</f>
        <v>12.837300000000001</v>
      </c>
      <c r="F694" s="68">
        <f>12.8373 * CHOOSE(CONTROL!$C$22, $C$13, 100%, $E$13)</f>
        <v>12.837300000000001</v>
      </c>
      <c r="G694" s="68">
        <f>12.844 * CHOOSE(CONTROL!$C$22, $C$13, 100%, $E$13)</f>
        <v>12.843999999999999</v>
      </c>
      <c r="H694" s="68">
        <f>19.7988* CHOOSE(CONTROL!$C$22, $C$13, 100%, $E$13)</f>
        <v>19.7988</v>
      </c>
      <c r="I694" s="68">
        <f>19.8056 * CHOOSE(CONTROL!$C$22, $C$13, 100%, $E$13)</f>
        <v>19.805599999999998</v>
      </c>
      <c r="J694" s="68">
        <f>12.8373 * CHOOSE(CONTROL!$C$22, $C$13, 100%, $E$13)</f>
        <v>12.837300000000001</v>
      </c>
      <c r="K694" s="68">
        <f>12.844 * CHOOSE(CONTROL!$C$22, $C$13, 100%, $E$13)</f>
        <v>12.843999999999999</v>
      </c>
    </row>
    <row r="695" spans="1:11" ht="15">
      <c r="A695" s="13">
        <v>62275</v>
      </c>
      <c r="B695" s="67">
        <f>11.1891 * CHOOSE(CONTROL!$C$22, $C$13, 100%, $E$13)</f>
        <v>11.1891</v>
      </c>
      <c r="C695" s="67">
        <f>11.1891 * CHOOSE(CONTROL!$C$22, $C$13, 100%, $E$13)</f>
        <v>11.1891</v>
      </c>
      <c r="D695" s="67">
        <f>11.1946 * CHOOSE(CONTROL!$C$22, $C$13, 100%, $E$13)</f>
        <v>11.194599999999999</v>
      </c>
      <c r="E695" s="68">
        <f>13.0438 * CHOOSE(CONTROL!$C$22, $C$13, 100%, $E$13)</f>
        <v>13.043799999999999</v>
      </c>
      <c r="F695" s="68">
        <f>13.0438 * CHOOSE(CONTROL!$C$22, $C$13, 100%, $E$13)</f>
        <v>13.043799999999999</v>
      </c>
      <c r="G695" s="68">
        <f>13.0506 * CHOOSE(CONTROL!$C$22, $C$13, 100%, $E$13)</f>
        <v>13.050599999999999</v>
      </c>
      <c r="H695" s="68">
        <f>19.8401* CHOOSE(CONTROL!$C$22, $C$13, 100%, $E$13)</f>
        <v>19.8401</v>
      </c>
      <c r="I695" s="68">
        <f>19.8468 * CHOOSE(CONTROL!$C$22, $C$13, 100%, $E$13)</f>
        <v>19.846800000000002</v>
      </c>
      <c r="J695" s="68">
        <f>13.0438 * CHOOSE(CONTROL!$C$22, $C$13, 100%, $E$13)</f>
        <v>13.043799999999999</v>
      </c>
      <c r="K695" s="68">
        <f>13.0506 * CHOOSE(CONTROL!$C$22, $C$13, 100%, $E$13)</f>
        <v>13.050599999999999</v>
      </c>
    </row>
    <row r="696" spans="1:11" ht="15">
      <c r="A696" s="13">
        <v>62306</v>
      </c>
      <c r="B696" s="67">
        <f>11.1958 * CHOOSE(CONTROL!$C$22, $C$13, 100%, $E$13)</f>
        <v>11.1958</v>
      </c>
      <c r="C696" s="67">
        <f>11.1958 * CHOOSE(CONTROL!$C$22, $C$13, 100%, $E$13)</f>
        <v>11.1958</v>
      </c>
      <c r="D696" s="67">
        <f>11.2013 * CHOOSE(CONTROL!$C$22, $C$13, 100%, $E$13)</f>
        <v>11.2013</v>
      </c>
      <c r="E696" s="68">
        <f>12.8386 * CHOOSE(CONTROL!$C$22, $C$13, 100%, $E$13)</f>
        <v>12.8386</v>
      </c>
      <c r="F696" s="68">
        <f>12.8386 * CHOOSE(CONTROL!$C$22, $C$13, 100%, $E$13)</f>
        <v>12.8386</v>
      </c>
      <c r="G696" s="68">
        <f>12.8453 * CHOOSE(CONTROL!$C$22, $C$13, 100%, $E$13)</f>
        <v>12.8453</v>
      </c>
      <c r="H696" s="68">
        <f>19.8814* CHOOSE(CONTROL!$C$22, $C$13, 100%, $E$13)</f>
        <v>19.881399999999999</v>
      </c>
      <c r="I696" s="68">
        <f>19.8882 * CHOOSE(CONTROL!$C$22, $C$13, 100%, $E$13)</f>
        <v>19.888200000000001</v>
      </c>
      <c r="J696" s="68">
        <f>12.8386 * CHOOSE(CONTROL!$C$22, $C$13, 100%, $E$13)</f>
        <v>12.8386</v>
      </c>
      <c r="K696" s="68">
        <f>12.8453 * CHOOSE(CONTROL!$C$22, $C$13, 100%, $E$13)</f>
        <v>12.8453</v>
      </c>
    </row>
    <row r="697" spans="1:11" ht="15">
      <c r="A697" s="13">
        <v>62337</v>
      </c>
      <c r="B697" s="67">
        <f>11.1927 * CHOOSE(CONTROL!$C$22, $C$13, 100%, $E$13)</f>
        <v>11.1927</v>
      </c>
      <c r="C697" s="67">
        <f>11.1927 * CHOOSE(CONTROL!$C$22, $C$13, 100%, $E$13)</f>
        <v>11.1927</v>
      </c>
      <c r="D697" s="67">
        <f>11.1982 * CHOOSE(CONTROL!$C$22, $C$13, 100%, $E$13)</f>
        <v>11.1982</v>
      </c>
      <c r="E697" s="68">
        <f>12.8131 * CHOOSE(CONTROL!$C$22, $C$13, 100%, $E$13)</f>
        <v>12.8131</v>
      </c>
      <c r="F697" s="68">
        <f>12.8131 * CHOOSE(CONTROL!$C$22, $C$13, 100%, $E$13)</f>
        <v>12.8131</v>
      </c>
      <c r="G697" s="68">
        <f>12.8199 * CHOOSE(CONTROL!$C$22, $C$13, 100%, $E$13)</f>
        <v>12.819900000000001</v>
      </c>
      <c r="H697" s="68">
        <f>19.9228* CHOOSE(CONTROL!$C$22, $C$13, 100%, $E$13)</f>
        <v>19.922799999999999</v>
      </c>
      <c r="I697" s="68">
        <f>19.9296 * CHOOSE(CONTROL!$C$22, $C$13, 100%, $E$13)</f>
        <v>19.929600000000001</v>
      </c>
      <c r="J697" s="68">
        <f>12.8131 * CHOOSE(CONTROL!$C$22, $C$13, 100%, $E$13)</f>
        <v>12.8131</v>
      </c>
      <c r="K697" s="68">
        <f>12.8199 * CHOOSE(CONTROL!$C$22, $C$13, 100%, $E$13)</f>
        <v>12.819900000000001</v>
      </c>
    </row>
    <row r="698" spans="1:11" ht="15">
      <c r="A698" s="13">
        <v>62367</v>
      </c>
      <c r="B698" s="67">
        <f>11.2111 * CHOOSE(CONTROL!$C$22, $C$13, 100%, $E$13)</f>
        <v>11.2111</v>
      </c>
      <c r="C698" s="67">
        <f>11.2111 * CHOOSE(CONTROL!$C$22, $C$13, 100%, $E$13)</f>
        <v>11.2111</v>
      </c>
      <c r="D698" s="67">
        <f>11.215 * CHOOSE(CONTROL!$C$22, $C$13, 100%, $E$13)</f>
        <v>11.215</v>
      </c>
      <c r="E698" s="68">
        <f>12.893 * CHOOSE(CONTROL!$C$22, $C$13, 100%, $E$13)</f>
        <v>12.893000000000001</v>
      </c>
      <c r="F698" s="68">
        <f>12.893 * CHOOSE(CONTROL!$C$22, $C$13, 100%, $E$13)</f>
        <v>12.893000000000001</v>
      </c>
      <c r="G698" s="68">
        <f>12.8978 * CHOOSE(CONTROL!$C$22, $C$13, 100%, $E$13)</f>
        <v>12.8978</v>
      </c>
      <c r="H698" s="68">
        <f>19.9644* CHOOSE(CONTROL!$C$22, $C$13, 100%, $E$13)</f>
        <v>19.964400000000001</v>
      </c>
      <c r="I698" s="68">
        <f>19.9691 * CHOOSE(CONTROL!$C$22, $C$13, 100%, $E$13)</f>
        <v>19.969100000000001</v>
      </c>
      <c r="J698" s="68">
        <f>12.893 * CHOOSE(CONTROL!$C$22, $C$13, 100%, $E$13)</f>
        <v>12.893000000000001</v>
      </c>
      <c r="K698" s="68">
        <f>12.8978 * CHOOSE(CONTROL!$C$22, $C$13, 100%, $E$13)</f>
        <v>12.8978</v>
      </c>
    </row>
    <row r="699" spans="1:11" ht="15">
      <c r="A699" s="13">
        <v>62398</v>
      </c>
      <c r="B699" s="67">
        <f>11.2141 * CHOOSE(CONTROL!$C$22, $C$13, 100%, $E$13)</f>
        <v>11.2141</v>
      </c>
      <c r="C699" s="67">
        <f>11.2141 * CHOOSE(CONTROL!$C$22, $C$13, 100%, $E$13)</f>
        <v>11.2141</v>
      </c>
      <c r="D699" s="67">
        <f>11.218 * CHOOSE(CONTROL!$C$22, $C$13, 100%, $E$13)</f>
        <v>11.218</v>
      </c>
      <c r="E699" s="68">
        <f>12.9418 * CHOOSE(CONTROL!$C$22, $C$13, 100%, $E$13)</f>
        <v>12.941800000000001</v>
      </c>
      <c r="F699" s="68">
        <f>12.9418 * CHOOSE(CONTROL!$C$22, $C$13, 100%, $E$13)</f>
        <v>12.941800000000001</v>
      </c>
      <c r="G699" s="68">
        <f>12.9465 * CHOOSE(CONTROL!$C$22, $C$13, 100%, $E$13)</f>
        <v>12.9465</v>
      </c>
      <c r="H699" s="68">
        <f>20.0059* CHOOSE(CONTROL!$C$22, $C$13, 100%, $E$13)</f>
        <v>20.0059</v>
      </c>
      <c r="I699" s="68">
        <f>20.0107 * CHOOSE(CONTROL!$C$22, $C$13, 100%, $E$13)</f>
        <v>20.0107</v>
      </c>
      <c r="J699" s="68">
        <f>12.9418 * CHOOSE(CONTROL!$C$22, $C$13, 100%, $E$13)</f>
        <v>12.941800000000001</v>
      </c>
      <c r="K699" s="68">
        <f>12.9465 * CHOOSE(CONTROL!$C$22, $C$13, 100%, $E$13)</f>
        <v>12.9465</v>
      </c>
    </row>
    <row r="700" spans="1:11" ht="15">
      <c r="A700" s="13">
        <v>62428</v>
      </c>
      <c r="B700" s="67">
        <f>11.2141 * CHOOSE(CONTROL!$C$22, $C$13, 100%, $E$13)</f>
        <v>11.2141</v>
      </c>
      <c r="C700" s="67">
        <f>11.2141 * CHOOSE(CONTROL!$C$22, $C$13, 100%, $E$13)</f>
        <v>11.2141</v>
      </c>
      <c r="D700" s="67">
        <f>11.218 * CHOOSE(CONTROL!$C$22, $C$13, 100%, $E$13)</f>
        <v>11.218</v>
      </c>
      <c r="E700" s="68">
        <f>12.8252 * CHOOSE(CONTROL!$C$22, $C$13, 100%, $E$13)</f>
        <v>12.825200000000001</v>
      </c>
      <c r="F700" s="68">
        <f>12.8252 * CHOOSE(CONTROL!$C$22, $C$13, 100%, $E$13)</f>
        <v>12.825200000000001</v>
      </c>
      <c r="G700" s="68">
        <f>12.8299 * CHOOSE(CONTROL!$C$22, $C$13, 100%, $E$13)</f>
        <v>12.8299</v>
      </c>
      <c r="H700" s="68">
        <f>20.0476* CHOOSE(CONTROL!$C$22, $C$13, 100%, $E$13)</f>
        <v>20.047599999999999</v>
      </c>
      <c r="I700" s="68">
        <f>20.0524 * CHOOSE(CONTROL!$C$22, $C$13, 100%, $E$13)</f>
        <v>20.052399999999999</v>
      </c>
      <c r="J700" s="68">
        <f>12.8252 * CHOOSE(CONTROL!$C$22, $C$13, 100%, $E$13)</f>
        <v>12.825200000000001</v>
      </c>
      <c r="K700" s="68">
        <f>12.8299 * CHOOSE(CONTROL!$C$22, $C$13, 100%, $E$13)</f>
        <v>12.8299</v>
      </c>
    </row>
    <row r="701" spans="1:11" ht="15">
      <c r="A701" s="13">
        <v>62459</v>
      </c>
      <c r="B701" s="67">
        <f>11.2519 * CHOOSE(CONTROL!$C$22, $C$13, 100%, $E$13)</f>
        <v>11.251899999999999</v>
      </c>
      <c r="C701" s="67">
        <f>11.2519 * CHOOSE(CONTROL!$C$22, $C$13, 100%, $E$13)</f>
        <v>11.251899999999999</v>
      </c>
      <c r="D701" s="67">
        <f>11.2558 * CHOOSE(CONTROL!$C$22, $C$13, 100%, $E$13)</f>
        <v>11.255800000000001</v>
      </c>
      <c r="E701" s="68">
        <f>12.9563 * CHOOSE(CONTROL!$C$22, $C$13, 100%, $E$13)</f>
        <v>12.956300000000001</v>
      </c>
      <c r="F701" s="68">
        <f>12.9563 * CHOOSE(CONTROL!$C$22, $C$13, 100%, $E$13)</f>
        <v>12.956300000000001</v>
      </c>
      <c r="G701" s="68">
        <f>12.961 * CHOOSE(CONTROL!$C$22, $C$13, 100%, $E$13)</f>
        <v>12.961</v>
      </c>
      <c r="H701" s="68">
        <f>19.9975* CHOOSE(CONTROL!$C$22, $C$13, 100%, $E$13)</f>
        <v>19.997499999999999</v>
      </c>
      <c r="I701" s="68">
        <f>20.0023 * CHOOSE(CONTROL!$C$22, $C$13, 100%, $E$13)</f>
        <v>20.002300000000002</v>
      </c>
      <c r="J701" s="68">
        <f>12.9563 * CHOOSE(CONTROL!$C$22, $C$13, 100%, $E$13)</f>
        <v>12.956300000000001</v>
      </c>
      <c r="K701" s="68">
        <f>12.961 * CHOOSE(CONTROL!$C$22, $C$13, 100%, $E$13)</f>
        <v>12.961</v>
      </c>
    </row>
    <row r="702" spans="1:11" ht="15">
      <c r="A702" s="13">
        <v>62490</v>
      </c>
      <c r="B702" s="67">
        <f>11.2488 * CHOOSE(CONTROL!$C$22, $C$13, 100%, $E$13)</f>
        <v>11.248799999999999</v>
      </c>
      <c r="C702" s="67">
        <f>11.2488 * CHOOSE(CONTROL!$C$22, $C$13, 100%, $E$13)</f>
        <v>11.248799999999999</v>
      </c>
      <c r="D702" s="67">
        <f>11.2527 * CHOOSE(CONTROL!$C$22, $C$13, 100%, $E$13)</f>
        <v>11.252700000000001</v>
      </c>
      <c r="E702" s="68">
        <f>12.7288 * CHOOSE(CONTROL!$C$22, $C$13, 100%, $E$13)</f>
        <v>12.7288</v>
      </c>
      <c r="F702" s="68">
        <f>12.7288 * CHOOSE(CONTROL!$C$22, $C$13, 100%, $E$13)</f>
        <v>12.7288</v>
      </c>
      <c r="G702" s="68">
        <f>12.7336 * CHOOSE(CONTROL!$C$22, $C$13, 100%, $E$13)</f>
        <v>12.733599999999999</v>
      </c>
      <c r="H702" s="68">
        <f>20.0392* CHOOSE(CONTROL!$C$22, $C$13, 100%, $E$13)</f>
        <v>20.039200000000001</v>
      </c>
      <c r="I702" s="68">
        <f>20.044 * CHOOSE(CONTROL!$C$22, $C$13, 100%, $E$13)</f>
        <v>20.044</v>
      </c>
      <c r="J702" s="68">
        <f>12.7288 * CHOOSE(CONTROL!$C$22, $C$13, 100%, $E$13)</f>
        <v>12.7288</v>
      </c>
      <c r="K702" s="68">
        <f>12.7336 * CHOOSE(CONTROL!$C$22, $C$13, 100%, $E$13)</f>
        <v>12.733599999999999</v>
      </c>
    </row>
    <row r="703" spans="1:11" ht="15">
      <c r="A703" s="13">
        <v>62518</v>
      </c>
      <c r="B703" s="67">
        <f>11.2458 * CHOOSE(CONTROL!$C$22, $C$13, 100%, $E$13)</f>
        <v>11.245799999999999</v>
      </c>
      <c r="C703" s="67">
        <f>11.2458 * CHOOSE(CONTROL!$C$22, $C$13, 100%, $E$13)</f>
        <v>11.245799999999999</v>
      </c>
      <c r="D703" s="67">
        <f>11.2497 * CHOOSE(CONTROL!$C$22, $C$13, 100%, $E$13)</f>
        <v>11.249700000000001</v>
      </c>
      <c r="E703" s="68">
        <f>12.9043 * CHOOSE(CONTROL!$C$22, $C$13, 100%, $E$13)</f>
        <v>12.904299999999999</v>
      </c>
      <c r="F703" s="68">
        <f>12.9043 * CHOOSE(CONTROL!$C$22, $C$13, 100%, $E$13)</f>
        <v>12.904299999999999</v>
      </c>
      <c r="G703" s="68">
        <f>12.9091 * CHOOSE(CONTROL!$C$22, $C$13, 100%, $E$13)</f>
        <v>12.9091</v>
      </c>
      <c r="H703" s="68">
        <f>20.0809* CHOOSE(CONTROL!$C$22, $C$13, 100%, $E$13)</f>
        <v>20.0809</v>
      </c>
      <c r="I703" s="68">
        <f>20.0857 * CHOOSE(CONTROL!$C$22, $C$13, 100%, $E$13)</f>
        <v>20.085699999999999</v>
      </c>
      <c r="J703" s="68">
        <f>12.9043 * CHOOSE(CONTROL!$C$22, $C$13, 100%, $E$13)</f>
        <v>12.904299999999999</v>
      </c>
      <c r="K703" s="68">
        <f>12.9091 * CHOOSE(CONTROL!$C$22, $C$13, 100%, $E$13)</f>
        <v>12.9091</v>
      </c>
    </row>
    <row r="704" spans="1:11" ht="15">
      <c r="A704" s="13">
        <v>62549</v>
      </c>
      <c r="B704" s="67">
        <f>11.2496 * CHOOSE(CONTROL!$C$22, $C$13, 100%, $E$13)</f>
        <v>11.249599999999999</v>
      </c>
      <c r="C704" s="67">
        <f>11.2496 * CHOOSE(CONTROL!$C$22, $C$13, 100%, $E$13)</f>
        <v>11.249599999999999</v>
      </c>
      <c r="D704" s="67">
        <f>11.2534 * CHOOSE(CONTROL!$C$22, $C$13, 100%, $E$13)</f>
        <v>11.253399999999999</v>
      </c>
      <c r="E704" s="68">
        <f>13.0909 * CHOOSE(CONTROL!$C$22, $C$13, 100%, $E$13)</f>
        <v>13.0909</v>
      </c>
      <c r="F704" s="68">
        <f>13.0909 * CHOOSE(CONTROL!$C$22, $C$13, 100%, $E$13)</f>
        <v>13.0909</v>
      </c>
      <c r="G704" s="68">
        <f>13.0956 * CHOOSE(CONTROL!$C$22, $C$13, 100%, $E$13)</f>
        <v>13.095599999999999</v>
      </c>
      <c r="H704" s="68">
        <f>20.1228* CHOOSE(CONTROL!$C$22, $C$13, 100%, $E$13)</f>
        <v>20.122800000000002</v>
      </c>
      <c r="I704" s="68">
        <f>20.1275 * CHOOSE(CONTROL!$C$22, $C$13, 100%, $E$13)</f>
        <v>20.127500000000001</v>
      </c>
      <c r="J704" s="68">
        <f>13.0909 * CHOOSE(CONTROL!$C$22, $C$13, 100%, $E$13)</f>
        <v>13.0909</v>
      </c>
      <c r="K704" s="68">
        <f>13.0956 * CHOOSE(CONTROL!$C$22, $C$13, 100%, $E$13)</f>
        <v>13.095599999999999</v>
      </c>
    </row>
    <row r="705" spans="1:11" ht="15">
      <c r="A705" s="13">
        <v>62579</v>
      </c>
      <c r="B705" s="67">
        <f>11.2496 * CHOOSE(CONTROL!$C$22, $C$13, 100%, $E$13)</f>
        <v>11.249599999999999</v>
      </c>
      <c r="C705" s="67">
        <f>11.2496 * CHOOSE(CONTROL!$C$22, $C$13, 100%, $E$13)</f>
        <v>11.249599999999999</v>
      </c>
      <c r="D705" s="67">
        <f>11.2551 * CHOOSE(CONTROL!$C$22, $C$13, 100%, $E$13)</f>
        <v>11.255100000000001</v>
      </c>
      <c r="E705" s="68">
        <f>13.1624 * CHOOSE(CONTROL!$C$22, $C$13, 100%, $E$13)</f>
        <v>13.1624</v>
      </c>
      <c r="F705" s="68">
        <f>13.1624 * CHOOSE(CONTROL!$C$22, $C$13, 100%, $E$13)</f>
        <v>13.1624</v>
      </c>
      <c r="G705" s="68">
        <f>13.1692 * CHOOSE(CONTROL!$C$22, $C$13, 100%, $E$13)</f>
        <v>13.1692</v>
      </c>
      <c r="H705" s="68">
        <f>20.1647* CHOOSE(CONTROL!$C$22, $C$13, 100%, $E$13)</f>
        <v>20.1647</v>
      </c>
      <c r="I705" s="68">
        <f>20.1714 * CHOOSE(CONTROL!$C$22, $C$13, 100%, $E$13)</f>
        <v>20.171399999999998</v>
      </c>
      <c r="J705" s="68">
        <f>13.1624 * CHOOSE(CONTROL!$C$22, $C$13, 100%, $E$13)</f>
        <v>13.1624</v>
      </c>
      <c r="K705" s="68">
        <f>13.1692 * CHOOSE(CONTROL!$C$22, $C$13, 100%, $E$13)</f>
        <v>13.1692</v>
      </c>
    </row>
    <row r="706" spans="1:11" ht="15">
      <c r="A706" s="13">
        <v>62610</v>
      </c>
      <c r="B706" s="67">
        <f>11.2556 * CHOOSE(CONTROL!$C$22, $C$13, 100%, $E$13)</f>
        <v>11.255599999999999</v>
      </c>
      <c r="C706" s="67">
        <f>11.2556 * CHOOSE(CONTROL!$C$22, $C$13, 100%, $E$13)</f>
        <v>11.255599999999999</v>
      </c>
      <c r="D706" s="67">
        <f>11.2611 * CHOOSE(CONTROL!$C$22, $C$13, 100%, $E$13)</f>
        <v>11.261100000000001</v>
      </c>
      <c r="E706" s="68">
        <f>13.0951 * CHOOSE(CONTROL!$C$22, $C$13, 100%, $E$13)</f>
        <v>13.0951</v>
      </c>
      <c r="F706" s="68">
        <f>13.0951 * CHOOSE(CONTROL!$C$22, $C$13, 100%, $E$13)</f>
        <v>13.0951</v>
      </c>
      <c r="G706" s="68">
        <f>13.1019 * CHOOSE(CONTROL!$C$22, $C$13, 100%, $E$13)</f>
        <v>13.101900000000001</v>
      </c>
      <c r="H706" s="68">
        <f>20.2067* CHOOSE(CONTROL!$C$22, $C$13, 100%, $E$13)</f>
        <v>20.206700000000001</v>
      </c>
      <c r="I706" s="68">
        <f>20.2134 * CHOOSE(CONTROL!$C$22, $C$13, 100%, $E$13)</f>
        <v>20.2134</v>
      </c>
      <c r="J706" s="68">
        <f>13.0951 * CHOOSE(CONTROL!$C$22, $C$13, 100%, $E$13)</f>
        <v>13.0951</v>
      </c>
      <c r="K706" s="68">
        <f>13.1019 * CHOOSE(CONTROL!$C$22, $C$13, 100%, $E$13)</f>
        <v>13.101900000000001</v>
      </c>
    </row>
    <row r="707" spans="1:11" ht="15">
      <c r="A707" s="13">
        <v>62640</v>
      </c>
      <c r="B707" s="67">
        <f>11.4283 * CHOOSE(CONTROL!$C$22, $C$13, 100%, $E$13)</f>
        <v>11.4283</v>
      </c>
      <c r="C707" s="67">
        <f>11.4283 * CHOOSE(CONTROL!$C$22, $C$13, 100%, $E$13)</f>
        <v>11.4283</v>
      </c>
      <c r="D707" s="67">
        <f>11.4338 * CHOOSE(CONTROL!$C$22, $C$13, 100%, $E$13)</f>
        <v>11.4338</v>
      </c>
      <c r="E707" s="68">
        <f>13.3056 * CHOOSE(CONTROL!$C$22, $C$13, 100%, $E$13)</f>
        <v>13.3056</v>
      </c>
      <c r="F707" s="68">
        <f>13.3056 * CHOOSE(CONTROL!$C$22, $C$13, 100%, $E$13)</f>
        <v>13.3056</v>
      </c>
      <c r="G707" s="68">
        <f>13.3123 * CHOOSE(CONTROL!$C$22, $C$13, 100%, $E$13)</f>
        <v>13.3123</v>
      </c>
      <c r="H707" s="68">
        <f>20.2488* CHOOSE(CONTROL!$C$22, $C$13, 100%, $E$13)</f>
        <v>20.248799999999999</v>
      </c>
      <c r="I707" s="68">
        <f>20.2555 * CHOOSE(CONTROL!$C$22, $C$13, 100%, $E$13)</f>
        <v>20.255500000000001</v>
      </c>
      <c r="J707" s="68">
        <f>13.3056 * CHOOSE(CONTROL!$C$22, $C$13, 100%, $E$13)</f>
        <v>13.3056</v>
      </c>
      <c r="K707" s="68">
        <f>13.3123 * CHOOSE(CONTROL!$C$22, $C$13, 100%, $E$13)</f>
        <v>13.3123</v>
      </c>
    </row>
    <row r="708" spans="1:11" ht="15">
      <c r="A708" s="13">
        <v>62671</v>
      </c>
      <c r="B708" s="67">
        <f>11.435 * CHOOSE(CONTROL!$C$22, $C$13, 100%, $E$13)</f>
        <v>11.435</v>
      </c>
      <c r="C708" s="67">
        <f>11.435 * CHOOSE(CONTROL!$C$22, $C$13, 100%, $E$13)</f>
        <v>11.435</v>
      </c>
      <c r="D708" s="67">
        <f>11.4405 * CHOOSE(CONTROL!$C$22, $C$13, 100%, $E$13)</f>
        <v>11.4405</v>
      </c>
      <c r="E708" s="68">
        <f>13.0956 * CHOOSE(CONTROL!$C$22, $C$13, 100%, $E$13)</f>
        <v>13.095599999999999</v>
      </c>
      <c r="F708" s="68">
        <f>13.0956 * CHOOSE(CONTROL!$C$22, $C$13, 100%, $E$13)</f>
        <v>13.095599999999999</v>
      </c>
      <c r="G708" s="68">
        <f>13.1024 * CHOOSE(CONTROL!$C$22, $C$13, 100%, $E$13)</f>
        <v>13.102399999999999</v>
      </c>
      <c r="H708" s="68">
        <f>20.291* CHOOSE(CONTROL!$C$22, $C$13, 100%, $E$13)</f>
        <v>20.291</v>
      </c>
      <c r="I708" s="68">
        <f>20.2977 * CHOOSE(CONTROL!$C$22, $C$13, 100%, $E$13)</f>
        <v>20.297699999999999</v>
      </c>
      <c r="J708" s="68">
        <f>13.0956 * CHOOSE(CONTROL!$C$22, $C$13, 100%, $E$13)</f>
        <v>13.095599999999999</v>
      </c>
      <c r="K708" s="68">
        <f>13.1024 * CHOOSE(CONTROL!$C$22, $C$13, 100%, $E$13)</f>
        <v>13.102399999999999</v>
      </c>
    </row>
    <row r="709" spans="1:11" ht="15">
      <c r="A709" s="13">
        <v>62702</v>
      </c>
      <c r="B709" s="67">
        <f>11.4319 * CHOOSE(CONTROL!$C$22, $C$13, 100%, $E$13)</f>
        <v>11.431900000000001</v>
      </c>
      <c r="C709" s="67">
        <f>11.4319 * CHOOSE(CONTROL!$C$22, $C$13, 100%, $E$13)</f>
        <v>11.431900000000001</v>
      </c>
      <c r="D709" s="67">
        <f>11.4374 * CHOOSE(CONTROL!$C$22, $C$13, 100%, $E$13)</f>
        <v>11.4374</v>
      </c>
      <c r="E709" s="68">
        <f>13.0697 * CHOOSE(CONTROL!$C$22, $C$13, 100%, $E$13)</f>
        <v>13.069699999999999</v>
      </c>
      <c r="F709" s="68">
        <f>13.0697 * CHOOSE(CONTROL!$C$22, $C$13, 100%, $E$13)</f>
        <v>13.069699999999999</v>
      </c>
      <c r="G709" s="68">
        <f>13.0764 * CHOOSE(CONTROL!$C$22, $C$13, 100%, $E$13)</f>
        <v>13.0764</v>
      </c>
      <c r="H709" s="68">
        <f>20.3333* CHOOSE(CONTROL!$C$22, $C$13, 100%, $E$13)</f>
        <v>20.333300000000001</v>
      </c>
      <c r="I709" s="68">
        <f>20.34 * CHOOSE(CONTROL!$C$22, $C$13, 100%, $E$13)</f>
        <v>20.34</v>
      </c>
      <c r="J709" s="68">
        <f>13.0697 * CHOOSE(CONTROL!$C$22, $C$13, 100%, $E$13)</f>
        <v>13.069699999999999</v>
      </c>
      <c r="K709" s="68">
        <f>13.0764 * CHOOSE(CONTROL!$C$22, $C$13, 100%, $E$13)</f>
        <v>13.0764</v>
      </c>
    </row>
    <row r="710" spans="1:11" ht="15">
      <c r="A710" s="13">
        <v>62732</v>
      </c>
      <c r="B710" s="67">
        <f>11.451 * CHOOSE(CONTROL!$C$22, $C$13, 100%, $E$13)</f>
        <v>11.451000000000001</v>
      </c>
      <c r="C710" s="67">
        <f>11.451 * CHOOSE(CONTROL!$C$22, $C$13, 100%, $E$13)</f>
        <v>11.451000000000001</v>
      </c>
      <c r="D710" s="67">
        <f>11.4549 * CHOOSE(CONTROL!$C$22, $C$13, 100%, $E$13)</f>
        <v>11.4549</v>
      </c>
      <c r="E710" s="68">
        <f>13.1516 * CHOOSE(CONTROL!$C$22, $C$13, 100%, $E$13)</f>
        <v>13.1516</v>
      </c>
      <c r="F710" s="68">
        <f>13.1516 * CHOOSE(CONTROL!$C$22, $C$13, 100%, $E$13)</f>
        <v>13.1516</v>
      </c>
      <c r="G710" s="68">
        <f>13.1564 * CHOOSE(CONTROL!$C$22, $C$13, 100%, $E$13)</f>
        <v>13.1564</v>
      </c>
      <c r="H710" s="68">
        <f>20.3756* CHOOSE(CONTROL!$C$22, $C$13, 100%, $E$13)</f>
        <v>20.375599999999999</v>
      </c>
      <c r="I710" s="68">
        <f>20.3804 * CHOOSE(CONTROL!$C$22, $C$13, 100%, $E$13)</f>
        <v>20.380400000000002</v>
      </c>
      <c r="J710" s="68">
        <f>13.1516 * CHOOSE(CONTROL!$C$22, $C$13, 100%, $E$13)</f>
        <v>13.1516</v>
      </c>
      <c r="K710" s="68">
        <f>13.1564 * CHOOSE(CONTROL!$C$22, $C$13, 100%, $E$13)</f>
        <v>13.1564</v>
      </c>
    </row>
    <row r="711" spans="1:11" ht="15">
      <c r="A711" s="13">
        <v>62763</v>
      </c>
      <c r="B711" s="67">
        <f>11.4541 * CHOOSE(CONTROL!$C$22, $C$13, 100%, $E$13)</f>
        <v>11.4541</v>
      </c>
      <c r="C711" s="67">
        <f>11.4541 * CHOOSE(CONTROL!$C$22, $C$13, 100%, $E$13)</f>
        <v>11.4541</v>
      </c>
      <c r="D711" s="67">
        <f>11.4579 * CHOOSE(CONTROL!$C$22, $C$13, 100%, $E$13)</f>
        <v>11.4579</v>
      </c>
      <c r="E711" s="68">
        <f>13.2015 * CHOOSE(CONTROL!$C$22, $C$13, 100%, $E$13)</f>
        <v>13.201499999999999</v>
      </c>
      <c r="F711" s="68">
        <f>13.2015 * CHOOSE(CONTROL!$C$22, $C$13, 100%, $E$13)</f>
        <v>13.201499999999999</v>
      </c>
      <c r="G711" s="68">
        <f>13.2062 * CHOOSE(CONTROL!$C$22, $C$13, 100%, $E$13)</f>
        <v>13.206200000000001</v>
      </c>
      <c r="H711" s="68">
        <f>20.4181* CHOOSE(CONTROL!$C$22, $C$13, 100%, $E$13)</f>
        <v>20.418099999999999</v>
      </c>
      <c r="I711" s="68">
        <f>20.4228 * CHOOSE(CONTROL!$C$22, $C$13, 100%, $E$13)</f>
        <v>20.422799999999999</v>
      </c>
      <c r="J711" s="68">
        <f>13.2015 * CHOOSE(CONTROL!$C$22, $C$13, 100%, $E$13)</f>
        <v>13.201499999999999</v>
      </c>
      <c r="K711" s="68">
        <f>13.2062 * CHOOSE(CONTROL!$C$22, $C$13, 100%, $E$13)</f>
        <v>13.206200000000001</v>
      </c>
    </row>
    <row r="712" spans="1:11" ht="15">
      <c r="A712" s="13">
        <v>62793</v>
      </c>
      <c r="B712" s="67">
        <f>11.4541 * CHOOSE(CONTROL!$C$22, $C$13, 100%, $E$13)</f>
        <v>11.4541</v>
      </c>
      <c r="C712" s="67">
        <f>11.4541 * CHOOSE(CONTROL!$C$22, $C$13, 100%, $E$13)</f>
        <v>11.4541</v>
      </c>
      <c r="D712" s="67">
        <f>11.4579 * CHOOSE(CONTROL!$C$22, $C$13, 100%, $E$13)</f>
        <v>11.4579</v>
      </c>
      <c r="E712" s="68">
        <f>13.0822 * CHOOSE(CONTROL!$C$22, $C$13, 100%, $E$13)</f>
        <v>13.0822</v>
      </c>
      <c r="F712" s="68">
        <f>13.0822 * CHOOSE(CONTROL!$C$22, $C$13, 100%, $E$13)</f>
        <v>13.0822</v>
      </c>
      <c r="G712" s="68">
        <f>13.087 * CHOOSE(CONTROL!$C$22, $C$13, 100%, $E$13)</f>
        <v>13.087</v>
      </c>
      <c r="H712" s="68">
        <f>20.4606* CHOOSE(CONTROL!$C$22, $C$13, 100%, $E$13)</f>
        <v>20.460599999999999</v>
      </c>
      <c r="I712" s="68">
        <f>20.4654 * CHOOSE(CONTROL!$C$22, $C$13, 100%, $E$13)</f>
        <v>20.465399999999999</v>
      </c>
      <c r="J712" s="68">
        <f>13.0822 * CHOOSE(CONTROL!$C$22, $C$13, 100%, $E$13)</f>
        <v>13.0822</v>
      </c>
      <c r="K712" s="68">
        <f>13.087 * CHOOSE(CONTROL!$C$22, $C$13, 100%, $E$13)</f>
        <v>13.087</v>
      </c>
    </row>
    <row r="713" spans="1:11" ht="15">
      <c r="A713" s="13">
        <v>62824</v>
      </c>
      <c r="B713" s="67">
        <f>11.4875 * CHOOSE(CONTROL!$C$22, $C$13, 100%, $E$13)</f>
        <v>11.487500000000001</v>
      </c>
      <c r="C713" s="67">
        <f>11.4875 * CHOOSE(CONTROL!$C$22, $C$13, 100%, $E$13)</f>
        <v>11.487500000000001</v>
      </c>
      <c r="D713" s="67">
        <f>11.4913 * CHOOSE(CONTROL!$C$22, $C$13, 100%, $E$13)</f>
        <v>11.491300000000001</v>
      </c>
      <c r="E713" s="68">
        <f>13.211 * CHOOSE(CONTROL!$C$22, $C$13, 100%, $E$13)</f>
        <v>13.211</v>
      </c>
      <c r="F713" s="68">
        <f>13.211 * CHOOSE(CONTROL!$C$22, $C$13, 100%, $E$13)</f>
        <v>13.211</v>
      </c>
      <c r="G713" s="68">
        <f>13.2158 * CHOOSE(CONTROL!$C$22, $C$13, 100%, $E$13)</f>
        <v>13.2158</v>
      </c>
      <c r="H713" s="68">
        <f>20.4012* CHOOSE(CONTROL!$C$22, $C$13, 100%, $E$13)</f>
        <v>20.401199999999999</v>
      </c>
      <c r="I713" s="68">
        <f>20.4059 * CHOOSE(CONTROL!$C$22, $C$13, 100%, $E$13)</f>
        <v>20.405899999999999</v>
      </c>
      <c r="J713" s="68">
        <f>13.211 * CHOOSE(CONTROL!$C$22, $C$13, 100%, $E$13)</f>
        <v>13.211</v>
      </c>
      <c r="K713" s="68">
        <f>13.2158 * CHOOSE(CONTROL!$C$22, $C$13, 100%, $E$13)</f>
        <v>13.2158</v>
      </c>
    </row>
    <row r="714" spans="1:11" ht="15">
      <c r="A714" s="13">
        <v>62855</v>
      </c>
      <c r="B714" s="67">
        <f>11.4844 * CHOOSE(CONTROL!$C$22, $C$13, 100%, $E$13)</f>
        <v>11.484400000000001</v>
      </c>
      <c r="C714" s="67">
        <f>11.4844 * CHOOSE(CONTROL!$C$22, $C$13, 100%, $E$13)</f>
        <v>11.484400000000001</v>
      </c>
      <c r="D714" s="67">
        <f>11.4883 * CHOOSE(CONTROL!$C$22, $C$13, 100%, $E$13)</f>
        <v>11.488300000000001</v>
      </c>
      <c r="E714" s="68">
        <f>12.9786 * CHOOSE(CONTROL!$C$22, $C$13, 100%, $E$13)</f>
        <v>12.9786</v>
      </c>
      <c r="F714" s="68">
        <f>12.9786 * CHOOSE(CONTROL!$C$22, $C$13, 100%, $E$13)</f>
        <v>12.9786</v>
      </c>
      <c r="G714" s="68">
        <f>12.9834 * CHOOSE(CONTROL!$C$22, $C$13, 100%, $E$13)</f>
        <v>12.9834</v>
      </c>
      <c r="H714" s="68">
        <f>20.4437* CHOOSE(CONTROL!$C$22, $C$13, 100%, $E$13)</f>
        <v>20.4437</v>
      </c>
      <c r="I714" s="68">
        <f>20.4484 * CHOOSE(CONTROL!$C$22, $C$13, 100%, $E$13)</f>
        <v>20.448399999999999</v>
      </c>
      <c r="J714" s="68">
        <f>12.9786 * CHOOSE(CONTROL!$C$22, $C$13, 100%, $E$13)</f>
        <v>12.9786</v>
      </c>
      <c r="K714" s="68">
        <f>12.9834 * CHOOSE(CONTROL!$C$22, $C$13, 100%, $E$13)</f>
        <v>12.9834</v>
      </c>
    </row>
    <row r="715" spans="1:11" ht="15">
      <c r="A715" s="13">
        <v>62884</v>
      </c>
      <c r="B715" s="67">
        <f>11.4814 * CHOOSE(CONTROL!$C$22, $C$13, 100%, $E$13)</f>
        <v>11.481400000000001</v>
      </c>
      <c r="C715" s="67">
        <f>11.4814 * CHOOSE(CONTROL!$C$22, $C$13, 100%, $E$13)</f>
        <v>11.481400000000001</v>
      </c>
      <c r="D715" s="67">
        <f>11.4852 * CHOOSE(CONTROL!$C$22, $C$13, 100%, $E$13)</f>
        <v>11.485200000000001</v>
      </c>
      <c r="E715" s="68">
        <f>13.158 * CHOOSE(CONTROL!$C$22, $C$13, 100%, $E$13)</f>
        <v>13.157999999999999</v>
      </c>
      <c r="F715" s="68">
        <f>13.158 * CHOOSE(CONTROL!$C$22, $C$13, 100%, $E$13)</f>
        <v>13.157999999999999</v>
      </c>
      <c r="G715" s="68">
        <f>13.1628 * CHOOSE(CONTROL!$C$22, $C$13, 100%, $E$13)</f>
        <v>13.162800000000001</v>
      </c>
      <c r="H715" s="68">
        <f>20.4862* CHOOSE(CONTROL!$C$22, $C$13, 100%, $E$13)</f>
        <v>20.4862</v>
      </c>
      <c r="I715" s="68">
        <f>20.491 * CHOOSE(CONTROL!$C$22, $C$13, 100%, $E$13)</f>
        <v>20.491</v>
      </c>
      <c r="J715" s="68">
        <f>13.158 * CHOOSE(CONTROL!$C$22, $C$13, 100%, $E$13)</f>
        <v>13.157999999999999</v>
      </c>
      <c r="K715" s="68">
        <f>13.1628 * CHOOSE(CONTROL!$C$22, $C$13, 100%, $E$13)</f>
        <v>13.162800000000001</v>
      </c>
    </row>
    <row r="716" spans="1:11" ht="15">
      <c r="A716" s="13">
        <v>62915</v>
      </c>
      <c r="B716" s="67">
        <f>11.4853 * CHOOSE(CONTROL!$C$22, $C$13, 100%, $E$13)</f>
        <v>11.485300000000001</v>
      </c>
      <c r="C716" s="67">
        <f>11.4853 * CHOOSE(CONTROL!$C$22, $C$13, 100%, $E$13)</f>
        <v>11.485300000000001</v>
      </c>
      <c r="D716" s="67">
        <f>11.4892 * CHOOSE(CONTROL!$C$22, $C$13, 100%, $E$13)</f>
        <v>11.4892</v>
      </c>
      <c r="E716" s="68">
        <f>13.3487 * CHOOSE(CONTROL!$C$22, $C$13, 100%, $E$13)</f>
        <v>13.348699999999999</v>
      </c>
      <c r="F716" s="68">
        <f>13.3487 * CHOOSE(CONTROL!$C$22, $C$13, 100%, $E$13)</f>
        <v>13.348699999999999</v>
      </c>
      <c r="G716" s="68">
        <f>13.3535 * CHOOSE(CONTROL!$C$22, $C$13, 100%, $E$13)</f>
        <v>13.3535</v>
      </c>
      <c r="H716" s="68">
        <f>20.5289* CHOOSE(CONTROL!$C$22, $C$13, 100%, $E$13)</f>
        <v>20.5289</v>
      </c>
      <c r="I716" s="68">
        <f>20.5337 * CHOOSE(CONTROL!$C$22, $C$13, 100%, $E$13)</f>
        <v>20.5337</v>
      </c>
      <c r="J716" s="68">
        <f>13.3487 * CHOOSE(CONTROL!$C$22, $C$13, 100%, $E$13)</f>
        <v>13.348699999999999</v>
      </c>
      <c r="K716" s="68">
        <f>13.3535 * CHOOSE(CONTROL!$C$22, $C$13, 100%, $E$13)</f>
        <v>13.3535</v>
      </c>
    </row>
    <row r="717" spans="1:11" ht="15">
      <c r="A717" s="13">
        <v>62945</v>
      </c>
      <c r="B717" s="67">
        <f>11.4853 * CHOOSE(CONTROL!$C$22, $C$13, 100%, $E$13)</f>
        <v>11.485300000000001</v>
      </c>
      <c r="C717" s="67">
        <f>11.4853 * CHOOSE(CONTROL!$C$22, $C$13, 100%, $E$13)</f>
        <v>11.485300000000001</v>
      </c>
      <c r="D717" s="67">
        <f>11.4908 * CHOOSE(CONTROL!$C$22, $C$13, 100%, $E$13)</f>
        <v>11.4908</v>
      </c>
      <c r="E717" s="68">
        <f>13.4219 * CHOOSE(CONTROL!$C$22, $C$13, 100%, $E$13)</f>
        <v>13.421900000000001</v>
      </c>
      <c r="F717" s="68">
        <f>13.4219 * CHOOSE(CONTROL!$C$22, $C$13, 100%, $E$13)</f>
        <v>13.421900000000001</v>
      </c>
      <c r="G717" s="68">
        <f>13.4286 * CHOOSE(CONTROL!$C$22, $C$13, 100%, $E$13)</f>
        <v>13.428599999999999</v>
      </c>
      <c r="H717" s="68">
        <f>20.5717* CHOOSE(CONTROL!$C$22, $C$13, 100%, $E$13)</f>
        <v>20.5717</v>
      </c>
      <c r="I717" s="68">
        <f>20.5784 * CHOOSE(CONTROL!$C$22, $C$13, 100%, $E$13)</f>
        <v>20.578399999999998</v>
      </c>
      <c r="J717" s="68">
        <f>13.4219 * CHOOSE(CONTROL!$C$22, $C$13, 100%, $E$13)</f>
        <v>13.421900000000001</v>
      </c>
      <c r="K717" s="68">
        <f>13.4286 * CHOOSE(CONTROL!$C$22, $C$13, 100%, $E$13)</f>
        <v>13.428599999999999</v>
      </c>
    </row>
    <row r="718" spans="1:11" ht="15">
      <c r="A718" s="13">
        <v>62976</v>
      </c>
      <c r="B718" s="67">
        <f>11.4914 * CHOOSE(CONTROL!$C$22, $C$13, 100%, $E$13)</f>
        <v>11.491400000000001</v>
      </c>
      <c r="C718" s="67">
        <f>11.4914 * CHOOSE(CONTROL!$C$22, $C$13, 100%, $E$13)</f>
        <v>11.491400000000001</v>
      </c>
      <c r="D718" s="67">
        <f>11.4969 * CHOOSE(CONTROL!$C$22, $C$13, 100%, $E$13)</f>
        <v>11.4969</v>
      </c>
      <c r="E718" s="68">
        <f>13.353 * CHOOSE(CONTROL!$C$22, $C$13, 100%, $E$13)</f>
        <v>13.353</v>
      </c>
      <c r="F718" s="68">
        <f>13.353 * CHOOSE(CONTROL!$C$22, $C$13, 100%, $E$13)</f>
        <v>13.353</v>
      </c>
      <c r="G718" s="68">
        <f>13.3597 * CHOOSE(CONTROL!$C$22, $C$13, 100%, $E$13)</f>
        <v>13.3597</v>
      </c>
      <c r="H718" s="68">
        <f>20.6146* CHOOSE(CONTROL!$C$22, $C$13, 100%, $E$13)</f>
        <v>20.614599999999999</v>
      </c>
      <c r="I718" s="68">
        <f>20.6213 * CHOOSE(CONTROL!$C$22, $C$13, 100%, $E$13)</f>
        <v>20.621300000000002</v>
      </c>
      <c r="J718" s="68">
        <f>13.353 * CHOOSE(CONTROL!$C$22, $C$13, 100%, $E$13)</f>
        <v>13.353</v>
      </c>
      <c r="K718" s="68">
        <f>13.3597 * CHOOSE(CONTROL!$C$22, $C$13, 100%, $E$13)</f>
        <v>13.3597</v>
      </c>
    </row>
    <row r="719" spans="1:11" ht="15">
      <c r="A719" s="13">
        <v>63006</v>
      </c>
      <c r="B719" s="67">
        <f>11.6674 * CHOOSE(CONTROL!$C$22, $C$13, 100%, $E$13)</f>
        <v>11.667400000000001</v>
      </c>
      <c r="C719" s="67">
        <f>11.6674 * CHOOSE(CONTROL!$C$22, $C$13, 100%, $E$13)</f>
        <v>11.667400000000001</v>
      </c>
      <c r="D719" s="67">
        <f>11.673 * CHOOSE(CONTROL!$C$22, $C$13, 100%, $E$13)</f>
        <v>11.673</v>
      </c>
      <c r="E719" s="68">
        <f>13.5674 * CHOOSE(CONTROL!$C$22, $C$13, 100%, $E$13)</f>
        <v>13.567399999999999</v>
      </c>
      <c r="F719" s="68">
        <f>13.5674 * CHOOSE(CONTROL!$C$22, $C$13, 100%, $E$13)</f>
        <v>13.567399999999999</v>
      </c>
      <c r="G719" s="68">
        <f>13.5741 * CHOOSE(CONTROL!$C$22, $C$13, 100%, $E$13)</f>
        <v>13.5741</v>
      </c>
      <c r="H719" s="68">
        <f>20.6575* CHOOSE(CONTROL!$C$22, $C$13, 100%, $E$13)</f>
        <v>20.657499999999999</v>
      </c>
      <c r="I719" s="68">
        <f>20.6642 * CHOOSE(CONTROL!$C$22, $C$13, 100%, $E$13)</f>
        <v>20.664200000000001</v>
      </c>
      <c r="J719" s="68">
        <f>13.5674 * CHOOSE(CONTROL!$C$22, $C$13, 100%, $E$13)</f>
        <v>13.567399999999999</v>
      </c>
      <c r="K719" s="68">
        <f>13.5741 * CHOOSE(CONTROL!$C$22, $C$13, 100%, $E$13)</f>
        <v>13.5741</v>
      </c>
    </row>
    <row r="720" spans="1:11" ht="15">
      <c r="A720" s="13">
        <v>63037</v>
      </c>
      <c r="B720" s="67">
        <f>11.6741 * CHOOSE(CONTROL!$C$22, $C$13, 100%, $E$13)</f>
        <v>11.674099999999999</v>
      </c>
      <c r="C720" s="67">
        <f>11.6741 * CHOOSE(CONTROL!$C$22, $C$13, 100%, $E$13)</f>
        <v>11.674099999999999</v>
      </c>
      <c r="D720" s="67">
        <f>11.6796 * CHOOSE(CONTROL!$C$22, $C$13, 100%, $E$13)</f>
        <v>11.679600000000001</v>
      </c>
      <c r="E720" s="68">
        <f>13.3527 * CHOOSE(CONTROL!$C$22, $C$13, 100%, $E$13)</f>
        <v>13.3527</v>
      </c>
      <c r="F720" s="68">
        <f>13.3527 * CHOOSE(CONTROL!$C$22, $C$13, 100%, $E$13)</f>
        <v>13.3527</v>
      </c>
      <c r="G720" s="68">
        <f>13.3594 * CHOOSE(CONTROL!$C$22, $C$13, 100%, $E$13)</f>
        <v>13.359400000000001</v>
      </c>
      <c r="H720" s="68">
        <f>20.7005* CHOOSE(CONTROL!$C$22, $C$13, 100%, $E$13)</f>
        <v>20.700500000000002</v>
      </c>
      <c r="I720" s="68">
        <f>20.7073 * CHOOSE(CONTROL!$C$22, $C$13, 100%, $E$13)</f>
        <v>20.7073</v>
      </c>
      <c r="J720" s="68">
        <f>13.3527 * CHOOSE(CONTROL!$C$22, $C$13, 100%, $E$13)</f>
        <v>13.3527</v>
      </c>
      <c r="K720" s="68">
        <f>13.3594 * CHOOSE(CONTROL!$C$22, $C$13, 100%, $E$13)</f>
        <v>13.359400000000001</v>
      </c>
    </row>
    <row r="721" spans="1:11" ht="15">
      <c r="A721" s="13">
        <v>63068</v>
      </c>
      <c r="B721" s="67">
        <f>11.6711 * CHOOSE(CONTROL!$C$22, $C$13, 100%, $E$13)</f>
        <v>11.671099999999999</v>
      </c>
      <c r="C721" s="67">
        <f>11.6711 * CHOOSE(CONTROL!$C$22, $C$13, 100%, $E$13)</f>
        <v>11.671099999999999</v>
      </c>
      <c r="D721" s="67">
        <f>11.6766 * CHOOSE(CONTROL!$C$22, $C$13, 100%, $E$13)</f>
        <v>11.676600000000001</v>
      </c>
      <c r="E721" s="68">
        <f>13.3262 * CHOOSE(CONTROL!$C$22, $C$13, 100%, $E$13)</f>
        <v>13.3262</v>
      </c>
      <c r="F721" s="68">
        <f>13.3262 * CHOOSE(CONTROL!$C$22, $C$13, 100%, $E$13)</f>
        <v>13.3262</v>
      </c>
      <c r="G721" s="68">
        <f>13.333 * CHOOSE(CONTROL!$C$22, $C$13, 100%, $E$13)</f>
        <v>13.333</v>
      </c>
      <c r="H721" s="68">
        <f>20.7437* CHOOSE(CONTROL!$C$22, $C$13, 100%, $E$13)</f>
        <v>20.7437</v>
      </c>
      <c r="I721" s="68">
        <f>20.7504 * CHOOSE(CONTROL!$C$22, $C$13, 100%, $E$13)</f>
        <v>20.750399999999999</v>
      </c>
      <c r="J721" s="68">
        <f>13.3262 * CHOOSE(CONTROL!$C$22, $C$13, 100%, $E$13)</f>
        <v>13.3262</v>
      </c>
      <c r="K721" s="68">
        <f>13.333 * CHOOSE(CONTROL!$C$22, $C$13, 100%, $E$13)</f>
        <v>13.333</v>
      </c>
    </row>
    <row r="722" spans="1:11" ht="15">
      <c r="A722" s="13">
        <v>63098</v>
      </c>
      <c r="B722" s="67">
        <f>11.691 * CHOOSE(CONTROL!$C$22, $C$13, 100%, $E$13)</f>
        <v>11.691000000000001</v>
      </c>
      <c r="C722" s="67">
        <f>11.691 * CHOOSE(CONTROL!$C$22, $C$13, 100%, $E$13)</f>
        <v>11.691000000000001</v>
      </c>
      <c r="D722" s="67">
        <f>11.6948 * CHOOSE(CONTROL!$C$22, $C$13, 100%, $E$13)</f>
        <v>11.694800000000001</v>
      </c>
      <c r="E722" s="68">
        <f>13.4103 * CHOOSE(CONTROL!$C$22, $C$13, 100%, $E$13)</f>
        <v>13.410299999999999</v>
      </c>
      <c r="F722" s="68">
        <f>13.4103 * CHOOSE(CONTROL!$C$22, $C$13, 100%, $E$13)</f>
        <v>13.410299999999999</v>
      </c>
      <c r="G722" s="68">
        <f>13.4151 * CHOOSE(CONTROL!$C$22, $C$13, 100%, $E$13)</f>
        <v>13.415100000000001</v>
      </c>
      <c r="H722" s="68">
        <f>20.7869* CHOOSE(CONTROL!$C$22, $C$13, 100%, $E$13)</f>
        <v>20.786899999999999</v>
      </c>
      <c r="I722" s="68">
        <f>20.7917 * CHOOSE(CONTROL!$C$22, $C$13, 100%, $E$13)</f>
        <v>20.791699999999999</v>
      </c>
      <c r="J722" s="68">
        <f>13.4103 * CHOOSE(CONTROL!$C$22, $C$13, 100%, $E$13)</f>
        <v>13.410299999999999</v>
      </c>
      <c r="K722" s="68">
        <f>13.4151 * CHOOSE(CONTROL!$C$22, $C$13, 100%, $E$13)</f>
        <v>13.415100000000001</v>
      </c>
    </row>
    <row r="723" spans="1:11" ht="15">
      <c r="A723" s="13">
        <v>63129</v>
      </c>
      <c r="B723" s="67">
        <f>11.694 * CHOOSE(CONTROL!$C$22, $C$13, 100%, $E$13)</f>
        <v>11.694000000000001</v>
      </c>
      <c r="C723" s="67">
        <f>11.694 * CHOOSE(CONTROL!$C$22, $C$13, 100%, $E$13)</f>
        <v>11.694000000000001</v>
      </c>
      <c r="D723" s="67">
        <f>11.6979 * CHOOSE(CONTROL!$C$22, $C$13, 100%, $E$13)</f>
        <v>11.697900000000001</v>
      </c>
      <c r="E723" s="68">
        <f>13.4611 * CHOOSE(CONTROL!$C$22, $C$13, 100%, $E$13)</f>
        <v>13.4611</v>
      </c>
      <c r="F723" s="68">
        <f>13.4611 * CHOOSE(CONTROL!$C$22, $C$13, 100%, $E$13)</f>
        <v>13.4611</v>
      </c>
      <c r="G723" s="68">
        <f>13.4659 * CHOOSE(CONTROL!$C$22, $C$13, 100%, $E$13)</f>
        <v>13.4659</v>
      </c>
      <c r="H723" s="68">
        <f>20.8302* CHOOSE(CONTROL!$C$22, $C$13, 100%, $E$13)</f>
        <v>20.830200000000001</v>
      </c>
      <c r="I723" s="68">
        <f>20.835 * CHOOSE(CONTROL!$C$22, $C$13, 100%, $E$13)</f>
        <v>20.835000000000001</v>
      </c>
      <c r="J723" s="68">
        <f>13.4611 * CHOOSE(CONTROL!$C$22, $C$13, 100%, $E$13)</f>
        <v>13.4611</v>
      </c>
      <c r="K723" s="68">
        <f>13.4659 * CHOOSE(CONTROL!$C$22, $C$13, 100%, $E$13)</f>
        <v>13.4659</v>
      </c>
    </row>
    <row r="724" spans="1:11" ht="15">
      <c r="A724" s="13">
        <v>63159</v>
      </c>
      <c r="B724" s="67">
        <f>11.694 * CHOOSE(CONTROL!$C$22, $C$13, 100%, $E$13)</f>
        <v>11.694000000000001</v>
      </c>
      <c r="C724" s="67">
        <f>11.694 * CHOOSE(CONTROL!$C$22, $C$13, 100%, $E$13)</f>
        <v>11.694000000000001</v>
      </c>
      <c r="D724" s="67">
        <f>11.6979 * CHOOSE(CONTROL!$C$22, $C$13, 100%, $E$13)</f>
        <v>11.697900000000001</v>
      </c>
      <c r="E724" s="68">
        <f>13.3393 * CHOOSE(CONTROL!$C$22, $C$13, 100%, $E$13)</f>
        <v>13.3393</v>
      </c>
      <c r="F724" s="68">
        <f>13.3393 * CHOOSE(CONTROL!$C$22, $C$13, 100%, $E$13)</f>
        <v>13.3393</v>
      </c>
      <c r="G724" s="68">
        <f>13.3441 * CHOOSE(CONTROL!$C$22, $C$13, 100%, $E$13)</f>
        <v>13.344099999999999</v>
      </c>
      <c r="H724" s="68">
        <f>20.8736* CHOOSE(CONTROL!$C$22, $C$13, 100%, $E$13)</f>
        <v>20.8736</v>
      </c>
      <c r="I724" s="68">
        <f>20.8784 * CHOOSE(CONTROL!$C$22, $C$13, 100%, $E$13)</f>
        <v>20.878399999999999</v>
      </c>
      <c r="J724" s="68">
        <f>13.3393 * CHOOSE(CONTROL!$C$22, $C$13, 100%, $E$13)</f>
        <v>13.3393</v>
      </c>
      <c r="K724" s="68">
        <f>13.3441 * CHOOSE(CONTROL!$C$22, $C$13, 100%, $E$13)</f>
        <v>13.344099999999999</v>
      </c>
    </row>
    <row r="725" spans="1:11" ht="15">
      <c r="A725" s="13">
        <v>63190</v>
      </c>
      <c r="B725" s="67">
        <f>11.723 * CHOOSE(CONTROL!$C$22, $C$13, 100%, $E$13)</f>
        <v>11.723000000000001</v>
      </c>
      <c r="C725" s="67">
        <f>11.723 * CHOOSE(CONTROL!$C$22, $C$13, 100%, $E$13)</f>
        <v>11.723000000000001</v>
      </c>
      <c r="D725" s="67">
        <f>11.7269 * CHOOSE(CONTROL!$C$22, $C$13, 100%, $E$13)</f>
        <v>11.726900000000001</v>
      </c>
      <c r="E725" s="68">
        <f>13.4657 * CHOOSE(CONTROL!$C$22, $C$13, 100%, $E$13)</f>
        <v>13.4657</v>
      </c>
      <c r="F725" s="68">
        <f>13.4657 * CHOOSE(CONTROL!$C$22, $C$13, 100%, $E$13)</f>
        <v>13.4657</v>
      </c>
      <c r="G725" s="68">
        <f>13.4705 * CHOOSE(CONTROL!$C$22, $C$13, 100%, $E$13)</f>
        <v>13.470499999999999</v>
      </c>
      <c r="H725" s="68">
        <f>20.8048* CHOOSE(CONTROL!$C$22, $C$13, 100%, $E$13)</f>
        <v>20.8048</v>
      </c>
      <c r="I725" s="68">
        <f>20.8096 * CHOOSE(CONTROL!$C$22, $C$13, 100%, $E$13)</f>
        <v>20.8096</v>
      </c>
      <c r="J725" s="68">
        <f>13.4657 * CHOOSE(CONTROL!$C$22, $C$13, 100%, $E$13)</f>
        <v>13.4657</v>
      </c>
      <c r="K725" s="68">
        <f>13.4705 * CHOOSE(CONTROL!$C$22, $C$13, 100%, $E$13)</f>
        <v>13.470499999999999</v>
      </c>
    </row>
    <row r="726" spans="1:11" ht="15">
      <c r="A726" s="13">
        <v>63221</v>
      </c>
      <c r="B726" s="67">
        <f>11.72 * CHOOSE(CONTROL!$C$22, $C$13, 100%, $E$13)</f>
        <v>11.72</v>
      </c>
      <c r="C726" s="67">
        <f>11.72 * CHOOSE(CONTROL!$C$22, $C$13, 100%, $E$13)</f>
        <v>11.72</v>
      </c>
      <c r="D726" s="67">
        <f>11.7239 * CHOOSE(CONTROL!$C$22, $C$13, 100%, $E$13)</f>
        <v>11.7239</v>
      </c>
      <c r="E726" s="68">
        <f>13.2284 * CHOOSE(CONTROL!$C$22, $C$13, 100%, $E$13)</f>
        <v>13.228400000000001</v>
      </c>
      <c r="F726" s="68">
        <f>13.2284 * CHOOSE(CONTROL!$C$22, $C$13, 100%, $E$13)</f>
        <v>13.228400000000001</v>
      </c>
      <c r="G726" s="68">
        <f>13.2331 * CHOOSE(CONTROL!$C$22, $C$13, 100%, $E$13)</f>
        <v>13.2331</v>
      </c>
      <c r="H726" s="68">
        <f>20.8481* CHOOSE(CONTROL!$C$22, $C$13, 100%, $E$13)</f>
        <v>20.848099999999999</v>
      </c>
      <c r="I726" s="68">
        <f>20.8529 * CHOOSE(CONTROL!$C$22, $C$13, 100%, $E$13)</f>
        <v>20.852900000000002</v>
      </c>
      <c r="J726" s="68">
        <f>13.2284 * CHOOSE(CONTROL!$C$22, $C$13, 100%, $E$13)</f>
        <v>13.228400000000001</v>
      </c>
      <c r="K726" s="68">
        <f>13.2331 * CHOOSE(CONTROL!$C$22, $C$13, 100%, $E$13)</f>
        <v>13.2331</v>
      </c>
    </row>
    <row r="727" spans="1:11" ht="15">
      <c r="A727" s="13">
        <v>63249</v>
      </c>
      <c r="B727" s="67">
        <f>11.717 * CHOOSE(CONTROL!$C$22, $C$13, 100%, $E$13)</f>
        <v>11.717000000000001</v>
      </c>
      <c r="C727" s="67">
        <f>11.717 * CHOOSE(CONTROL!$C$22, $C$13, 100%, $E$13)</f>
        <v>11.717000000000001</v>
      </c>
      <c r="D727" s="67">
        <f>11.7208 * CHOOSE(CONTROL!$C$22, $C$13, 100%, $E$13)</f>
        <v>11.720800000000001</v>
      </c>
      <c r="E727" s="68">
        <f>13.4117 * CHOOSE(CONTROL!$C$22, $C$13, 100%, $E$13)</f>
        <v>13.4117</v>
      </c>
      <c r="F727" s="68">
        <f>13.4117 * CHOOSE(CONTROL!$C$22, $C$13, 100%, $E$13)</f>
        <v>13.4117</v>
      </c>
      <c r="G727" s="68">
        <f>13.4165 * CHOOSE(CONTROL!$C$22, $C$13, 100%, $E$13)</f>
        <v>13.416499999999999</v>
      </c>
      <c r="H727" s="68">
        <f>20.8916* CHOOSE(CONTROL!$C$22, $C$13, 100%, $E$13)</f>
        <v>20.8916</v>
      </c>
      <c r="I727" s="68">
        <f>20.8963 * CHOOSE(CONTROL!$C$22, $C$13, 100%, $E$13)</f>
        <v>20.8963</v>
      </c>
      <c r="J727" s="68">
        <f>13.4117 * CHOOSE(CONTROL!$C$22, $C$13, 100%, $E$13)</f>
        <v>13.4117</v>
      </c>
      <c r="K727" s="68">
        <f>13.4165 * CHOOSE(CONTROL!$C$22, $C$13, 100%, $E$13)</f>
        <v>13.416499999999999</v>
      </c>
    </row>
    <row r="728" spans="1:11" ht="15">
      <c r="A728" s="13">
        <v>63280</v>
      </c>
      <c r="B728" s="67">
        <f>11.7211 * CHOOSE(CONTROL!$C$22, $C$13, 100%, $E$13)</f>
        <v>11.7211</v>
      </c>
      <c r="C728" s="67">
        <f>11.7211 * CHOOSE(CONTROL!$C$22, $C$13, 100%, $E$13)</f>
        <v>11.7211</v>
      </c>
      <c r="D728" s="67">
        <f>11.725 * CHOOSE(CONTROL!$C$22, $C$13, 100%, $E$13)</f>
        <v>11.725</v>
      </c>
      <c r="E728" s="68">
        <f>13.6066 * CHOOSE(CONTROL!$C$22, $C$13, 100%, $E$13)</f>
        <v>13.6066</v>
      </c>
      <c r="F728" s="68">
        <f>13.6066 * CHOOSE(CONTROL!$C$22, $C$13, 100%, $E$13)</f>
        <v>13.6066</v>
      </c>
      <c r="G728" s="68">
        <f>13.6114 * CHOOSE(CONTROL!$C$22, $C$13, 100%, $E$13)</f>
        <v>13.6114</v>
      </c>
      <c r="H728" s="68">
        <f>20.9351* CHOOSE(CONTROL!$C$22, $C$13, 100%, $E$13)</f>
        <v>20.935099999999998</v>
      </c>
      <c r="I728" s="68">
        <f>20.9399 * CHOOSE(CONTROL!$C$22, $C$13, 100%, $E$13)</f>
        <v>20.939900000000002</v>
      </c>
      <c r="J728" s="68">
        <f>13.6066 * CHOOSE(CONTROL!$C$22, $C$13, 100%, $E$13)</f>
        <v>13.6066</v>
      </c>
      <c r="K728" s="68">
        <f>13.6114 * CHOOSE(CONTROL!$C$22, $C$13, 100%, $E$13)</f>
        <v>13.6114</v>
      </c>
    </row>
    <row r="729" spans="1:11" ht="15">
      <c r="A729" s="13">
        <v>63310</v>
      </c>
      <c r="B729" s="67">
        <f>11.7211 * CHOOSE(CONTROL!$C$22, $C$13, 100%, $E$13)</f>
        <v>11.7211</v>
      </c>
      <c r="C729" s="67">
        <f>11.7211 * CHOOSE(CONTROL!$C$22, $C$13, 100%, $E$13)</f>
        <v>11.7211</v>
      </c>
      <c r="D729" s="67">
        <f>11.7266 * CHOOSE(CONTROL!$C$22, $C$13, 100%, $E$13)</f>
        <v>11.726599999999999</v>
      </c>
      <c r="E729" s="68">
        <f>13.6813 * CHOOSE(CONTROL!$C$22, $C$13, 100%, $E$13)</f>
        <v>13.6813</v>
      </c>
      <c r="F729" s="68">
        <f>13.6813 * CHOOSE(CONTROL!$C$22, $C$13, 100%, $E$13)</f>
        <v>13.6813</v>
      </c>
      <c r="G729" s="68">
        <f>13.688 * CHOOSE(CONTROL!$C$22, $C$13, 100%, $E$13)</f>
        <v>13.688000000000001</v>
      </c>
      <c r="H729" s="68">
        <f>20.9787* CHOOSE(CONTROL!$C$22, $C$13, 100%, $E$13)</f>
        <v>20.9787</v>
      </c>
      <c r="I729" s="68">
        <f>20.9854 * CHOOSE(CONTROL!$C$22, $C$13, 100%, $E$13)</f>
        <v>20.985399999999998</v>
      </c>
      <c r="J729" s="68">
        <f>13.6813 * CHOOSE(CONTROL!$C$22, $C$13, 100%, $E$13)</f>
        <v>13.6813</v>
      </c>
      <c r="K729" s="68">
        <f>13.688 * CHOOSE(CONTROL!$C$22, $C$13, 100%, $E$13)</f>
        <v>13.688000000000001</v>
      </c>
    </row>
    <row r="730" spans="1:11" ht="15">
      <c r="A730" s="13">
        <v>63341</v>
      </c>
      <c r="B730" s="67">
        <f>11.7272 * CHOOSE(CONTROL!$C$22, $C$13, 100%, $E$13)</f>
        <v>11.7272</v>
      </c>
      <c r="C730" s="67">
        <f>11.7272 * CHOOSE(CONTROL!$C$22, $C$13, 100%, $E$13)</f>
        <v>11.7272</v>
      </c>
      <c r="D730" s="67">
        <f>11.7327 * CHOOSE(CONTROL!$C$22, $C$13, 100%, $E$13)</f>
        <v>11.732699999999999</v>
      </c>
      <c r="E730" s="68">
        <f>13.6108 * CHOOSE(CONTROL!$C$22, $C$13, 100%, $E$13)</f>
        <v>13.610799999999999</v>
      </c>
      <c r="F730" s="68">
        <f>13.6108 * CHOOSE(CONTROL!$C$22, $C$13, 100%, $E$13)</f>
        <v>13.610799999999999</v>
      </c>
      <c r="G730" s="68">
        <f>13.6176 * CHOOSE(CONTROL!$C$22, $C$13, 100%, $E$13)</f>
        <v>13.617599999999999</v>
      </c>
      <c r="H730" s="68">
        <f>21.0224* CHOOSE(CONTROL!$C$22, $C$13, 100%, $E$13)</f>
        <v>21.022400000000001</v>
      </c>
      <c r="I730" s="68">
        <f>21.0292 * CHOOSE(CONTROL!$C$22, $C$13, 100%, $E$13)</f>
        <v>21.029199999999999</v>
      </c>
      <c r="J730" s="68">
        <f>13.6108 * CHOOSE(CONTROL!$C$22, $C$13, 100%, $E$13)</f>
        <v>13.610799999999999</v>
      </c>
      <c r="K730" s="68">
        <f>13.6176 * CHOOSE(CONTROL!$C$22, $C$13, 100%, $E$13)</f>
        <v>13.617599999999999</v>
      </c>
    </row>
    <row r="731" spans="1:11" ht="15">
      <c r="A731" s="13">
        <v>63371</v>
      </c>
      <c r="B731" s="67">
        <f>11.9066 * CHOOSE(CONTROL!$C$22, $C$13, 100%, $E$13)</f>
        <v>11.906599999999999</v>
      </c>
      <c r="C731" s="67">
        <f>11.9066 * CHOOSE(CONTROL!$C$22, $C$13, 100%, $E$13)</f>
        <v>11.906599999999999</v>
      </c>
      <c r="D731" s="67">
        <f>11.9121 * CHOOSE(CONTROL!$C$22, $C$13, 100%, $E$13)</f>
        <v>11.912100000000001</v>
      </c>
      <c r="E731" s="68">
        <f>13.8292 * CHOOSE(CONTROL!$C$22, $C$13, 100%, $E$13)</f>
        <v>13.8292</v>
      </c>
      <c r="F731" s="68">
        <f>13.8292 * CHOOSE(CONTROL!$C$22, $C$13, 100%, $E$13)</f>
        <v>13.8292</v>
      </c>
      <c r="G731" s="68">
        <f>13.8359 * CHOOSE(CONTROL!$C$22, $C$13, 100%, $E$13)</f>
        <v>13.835900000000001</v>
      </c>
      <c r="H731" s="68">
        <f>21.0662* CHOOSE(CONTROL!$C$22, $C$13, 100%, $E$13)</f>
        <v>21.066199999999998</v>
      </c>
      <c r="I731" s="68">
        <f>21.0729 * CHOOSE(CONTROL!$C$22, $C$13, 100%, $E$13)</f>
        <v>21.072900000000001</v>
      </c>
      <c r="J731" s="68">
        <f>13.8292 * CHOOSE(CONTROL!$C$22, $C$13, 100%, $E$13)</f>
        <v>13.8292</v>
      </c>
      <c r="K731" s="68">
        <f>13.8359 * CHOOSE(CONTROL!$C$22, $C$13, 100%, $E$13)</f>
        <v>13.835900000000001</v>
      </c>
    </row>
    <row r="732" spans="1:11" ht="15">
      <c r="A732" s="13">
        <v>63402</v>
      </c>
      <c r="B732" s="67">
        <f>11.9133 * CHOOSE(CONTROL!$C$22, $C$13, 100%, $E$13)</f>
        <v>11.9133</v>
      </c>
      <c r="C732" s="67">
        <f>11.9133 * CHOOSE(CONTROL!$C$22, $C$13, 100%, $E$13)</f>
        <v>11.9133</v>
      </c>
      <c r="D732" s="67">
        <f>11.9188 * CHOOSE(CONTROL!$C$22, $C$13, 100%, $E$13)</f>
        <v>11.918799999999999</v>
      </c>
      <c r="E732" s="68">
        <f>13.6098 * CHOOSE(CONTROL!$C$22, $C$13, 100%, $E$13)</f>
        <v>13.6098</v>
      </c>
      <c r="F732" s="68">
        <f>13.6098 * CHOOSE(CONTROL!$C$22, $C$13, 100%, $E$13)</f>
        <v>13.6098</v>
      </c>
      <c r="G732" s="68">
        <f>13.6165 * CHOOSE(CONTROL!$C$22, $C$13, 100%, $E$13)</f>
        <v>13.6165</v>
      </c>
      <c r="H732" s="68">
        <f>21.1101* CHOOSE(CONTROL!$C$22, $C$13, 100%, $E$13)</f>
        <v>21.110099999999999</v>
      </c>
      <c r="I732" s="68">
        <f>21.1168 * CHOOSE(CONTROL!$C$22, $C$13, 100%, $E$13)</f>
        <v>21.116800000000001</v>
      </c>
      <c r="J732" s="68">
        <f>13.6098 * CHOOSE(CONTROL!$C$22, $C$13, 100%, $E$13)</f>
        <v>13.6098</v>
      </c>
      <c r="K732" s="68">
        <f>13.6165 * CHOOSE(CONTROL!$C$22, $C$13, 100%, $E$13)</f>
        <v>13.6165</v>
      </c>
    </row>
    <row r="733" spans="1:11" ht="15">
      <c r="A733" s="13">
        <v>63433</v>
      </c>
      <c r="B733" s="67">
        <f>11.9103 * CHOOSE(CONTROL!$C$22, $C$13, 100%, $E$13)</f>
        <v>11.910299999999999</v>
      </c>
      <c r="C733" s="67">
        <f>11.9103 * CHOOSE(CONTROL!$C$22, $C$13, 100%, $E$13)</f>
        <v>11.910299999999999</v>
      </c>
      <c r="D733" s="67">
        <f>11.9158 * CHOOSE(CONTROL!$C$22, $C$13, 100%, $E$13)</f>
        <v>11.915800000000001</v>
      </c>
      <c r="E733" s="68">
        <f>13.5828 * CHOOSE(CONTROL!$C$22, $C$13, 100%, $E$13)</f>
        <v>13.582800000000001</v>
      </c>
      <c r="F733" s="68">
        <f>13.5828 * CHOOSE(CONTROL!$C$22, $C$13, 100%, $E$13)</f>
        <v>13.582800000000001</v>
      </c>
      <c r="G733" s="68">
        <f>13.5895 * CHOOSE(CONTROL!$C$22, $C$13, 100%, $E$13)</f>
        <v>13.589499999999999</v>
      </c>
      <c r="H733" s="68">
        <f>21.1541* CHOOSE(CONTROL!$C$22, $C$13, 100%, $E$13)</f>
        <v>21.1541</v>
      </c>
      <c r="I733" s="68">
        <f>21.1608 * CHOOSE(CONTROL!$C$22, $C$13, 100%, $E$13)</f>
        <v>21.160799999999998</v>
      </c>
      <c r="J733" s="68">
        <f>13.5828 * CHOOSE(CONTROL!$C$22, $C$13, 100%, $E$13)</f>
        <v>13.582800000000001</v>
      </c>
      <c r="K733" s="68">
        <f>13.5895 * CHOOSE(CONTROL!$C$22, $C$13, 100%, $E$13)</f>
        <v>13.589499999999999</v>
      </c>
    </row>
    <row r="734" spans="1:11" ht="15">
      <c r="A734" s="13">
        <v>63463</v>
      </c>
      <c r="B734" s="67">
        <f>11.9309 * CHOOSE(CONTROL!$C$22, $C$13, 100%, $E$13)</f>
        <v>11.930899999999999</v>
      </c>
      <c r="C734" s="67">
        <f>11.9309 * CHOOSE(CONTROL!$C$22, $C$13, 100%, $E$13)</f>
        <v>11.930899999999999</v>
      </c>
      <c r="D734" s="67">
        <f>11.9348 * CHOOSE(CONTROL!$C$22, $C$13, 100%, $E$13)</f>
        <v>11.934799999999999</v>
      </c>
      <c r="E734" s="68">
        <f>13.6689 * CHOOSE(CONTROL!$C$22, $C$13, 100%, $E$13)</f>
        <v>13.668900000000001</v>
      </c>
      <c r="F734" s="68">
        <f>13.6689 * CHOOSE(CONTROL!$C$22, $C$13, 100%, $E$13)</f>
        <v>13.668900000000001</v>
      </c>
      <c r="G734" s="68">
        <f>13.6737 * CHOOSE(CONTROL!$C$22, $C$13, 100%, $E$13)</f>
        <v>13.6737</v>
      </c>
      <c r="H734" s="68">
        <f>21.1981* CHOOSE(CONTROL!$C$22, $C$13, 100%, $E$13)</f>
        <v>21.1981</v>
      </c>
      <c r="I734" s="68">
        <f>21.2029 * CHOOSE(CONTROL!$C$22, $C$13, 100%, $E$13)</f>
        <v>21.2029</v>
      </c>
      <c r="J734" s="68">
        <f>13.6689 * CHOOSE(CONTROL!$C$22, $C$13, 100%, $E$13)</f>
        <v>13.668900000000001</v>
      </c>
      <c r="K734" s="68">
        <f>13.6737 * CHOOSE(CONTROL!$C$22, $C$13, 100%, $E$13)</f>
        <v>13.6737</v>
      </c>
    </row>
    <row r="735" spans="1:11" ht="15">
      <c r="A735" s="13">
        <v>63494</v>
      </c>
      <c r="B735" s="67">
        <f>11.9339 * CHOOSE(CONTROL!$C$22, $C$13, 100%, $E$13)</f>
        <v>11.9339</v>
      </c>
      <c r="C735" s="67">
        <f>11.9339 * CHOOSE(CONTROL!$C$22, $C$13, 100%, $E$13)</f>
        <v>11.9339</v>
      </c>
      <c r="D735" s="67">
        <f>11.9378 * CHOOSE(CONTROL!$C$22, $C$13, 100%, $E$13)</f>
        <v>11.937799999999999</v>
      </c>
      <c r="E735" s="68">
        <f>13.7208 * CHOOSE(CONTROL!$C$22, $C$13, 100%, $E$13)</f>
        <v>13.720800000000001</v>
      </c>
      <c r="F735" s="68">
        <f>13.7208 * CHOOSE(CONTROL!$C$22, $C$13, 100%, $E$13)</f>
        <v>13.720800000000001</v>
      </c>
      <c r="G735" s="68">
        <f>13.7256 * CHOOSE(CONTROL!$C$22, $C$13, 100%, $E$13)</f>
        <v>13.7256</v>
      </c>
      <c r="H735" s="68">
        <f>21.2423* CHOOSE(CONTROL!$C$22, $C$13, 100%, $E$13)</f>
        <v>21.2423</v>
      </c>
      <c r="I735" s="68">
        <f>21.2471 * CHOOSE(CONTROL!$C$22, $C$13, 100%, $E$13)</f>
        <v>21.2471</v>
      </c>
      <c r="J735" s="68">
        <f>13.7208 * CHOOSE(CONTROL!$C$22, $C$13, 100%, $E$13)</f>
        <v>13.720800000000001</v>
      </c>
      <c r="K735" s="68">
        <f>13.7256 * CHOOSE(CONTROL!$C$22, $C$13, 100%, $E$13)</f>
        <v>13.7256</v>
      </c>
    </row>
    <row r="736" spans="1:11" ht="15">
      <c r="A736" s="13">
        <v>63524</v>
      </c>
      <c r="B736" s="67">
        <f>11.9339 * CHOOSE(CONTROL!$C$22, $C$13, 100%, $E$13)</f>
        <v>11.9339</v>
      </c>
      <c r="C736" s="67">
        <f>11.9339 * CHOOSE(CONTROL!$C$22, $C$13, 100%, $E$13)</f>
        <v>11.9339</v>
      </c>
      <c r="D736" s="67">
        <f>11.9378 * CHOOSE(CONTROL!$C$22, $C$13, 100%, $E$13)</f>
        <v>11.937799999999999</v>
      </c>
      <c r="E736" s="68">
        <f>13.5964 * CHOOSE(CONTROL!$C$22, $C$13, 100%, $E$13)</f>
        <v>13.596399999999999</v>
      </c>
      <c r="F736" s="68">
        <f>13.5964 * CHOOSE(CONTROL!$C$22, $C$13, 100%, $E$13)</f>
        <v>13.596399999999999</v>
      </c>
      <c r="G736" s="68">
        <f>13.6011 * CHOOSE(CONTROL!$C$22, $C$13, 100%, $E$13)</f>
        <v>13.601100000000001</v>
      </c>
      <c r="H736" s="68">
        <f>21.2866* CHOOSE(CONTROL!$C$22, $C$13, 100%, $E$13)</f>
        <v>21.2866</v>
      </c>
      <c r="I736" s="68">
        <f>21.2913 * CHOOSE(CONTROL!$C$22, $C$13, 100%, $E$13)</f>
        <v>21.2913</v>
      </c>
      <c r="J736" s="68">
        <f>13.5964 * CHOOSE(CONTROL!$C$22, $C$13, 100%, $E$13)</f>
        <v>13.596399999999999</v>
      </c>
      <c r="K736" s="68">
        <f>13.6011 * CHOOSE(CONTROL!$C$22, $C$13, 100%, $E$13)</f>
        <v>13.601100000000001</v>
      </c>
    </row>
    <row r="737" spans="1:11" ht="15">
      <c r="A737" s="13">
        <v>63555</v>
      </c>
      <c r="B737" s="67">
        <f>11.9586 * CHOOSE(CONTROL!$C$22, $C$13, 100%, $E$13)</f>
        <v>11.958600000000001</v>
      </c>
      <c r="C737" s="67">
        <f>11.9586 * CHOOSE(CONTROL!$C$22, $C$13, 100%, $E$13)</f>
        <v>11.958600000000001</v>
      </c>
      <c r="D737" s="67">
        <f>11.9625 * CHOOSE(CONTROL!$C$22, $C$13, 100%, $E$13)</f>
        <v>11.9625</v>
      </c>
      <c r="E737" s="68">
        <f>13.7204 * CHOOSE(CONTROL!$C$22, $C$13, 100%, $E$13)</f>
        <v>13.7204</v>
      </c>
      <c r="F737" s="68">
        <f>13.7204 * CHOOSE(CONTROL!$C$22, $C$13, 100%, $E$13)</f>
        <v>13.7204</v>
      </c>
      <c r="G737" s="68">
        <f>13.7252 * CHOOSE(CONTROL!$C$22, $C$13, 100%, $E$13)</f>
        <v>13.725199999999999</v>
      </c>
      <c r="H737" s="68">
        <f>21.2084* CHOOSE(CONTROL!$C$22, $C$13, 100%, $E$13)</f>
        <v>21.208400000000001</v>
      </c>
      <c r="I737" s="68">
        <f>21.2132 * CHOOSE(CONTROL!$C$22, $C$13, 100%, $E$13)</f>
        <v>21.213200000000001</v>
      </c>
      <c r="J737" s="68">
        <f>13.7204 * CHOOSE(CONTROL!$C$22, $C$13, 100%, $E$13)</f>
        <v>13.7204</v>
      </c>
      <c r="K737" s="68">
        <f>13.7252 * CHOOSE(CONTROL!$C$22, $C$13, 100%, $E$13)</f>
        <v>13.725199999999999</v>
      </c>
    </row>
    <row r="738" spans="1:11" ht="15">
      <c r="A738" s="13">
        <v>63586</v>
      </c>
      <c r="B738" s="67">
        <f>11.9556 * CHOOSE(CONTROL!$C$22, $C$13, 100%, $E$13)</f>
        <v>11.9556</v>
      </c>
      <c r="C738" s="67">
        <f>11.9556 * CHOOSE(CONTROL!$C$22, $C$13, 100%, $E$13)</f>
        <v>11.9556</v>
      </c>
      <c r="D738" s="67">
        <f>11.9594 * CHOOSE(CONTROL!$C$22, $C$13, 100%, $E$13)</f>
        <v>11.9594</v>
      </c>
      <c r="E738" s="68">
        <f>13.4782 * CHOOSE(CONTROL!$C$22, $C$13, 100%, $E$13)</f>
        <v>13.478199999999999</v>
      </c>
      <c r="F738" s="68">
        <f>13.4782 * CHOOSE(CONTROL!$C$22, $C$13, 100%, $E$13)</f>
        <v>13.478199999999999</v>
      </c>
      <c r="G738" s="68">
        <f>13.4829 * CHOOSE(CONTROL!$C$22, $C$13, 100%, $E$13)</f>
        <v>13.482900000000001</v>
      </c>
      <c r="H738" s="68">
        <f>21.2526* CHOOSE(CONTROL!$C$22, $C$13, 100%, $E$13)</f>
        <v>21.252600000000001</v>
      </c>
      <c r="I738" s="68">
        <f>21.2574 * CHOOSE(CONTROL!$C$22, $C$13, 100%, $E$13)</f>
        <v>21.257400000000001</v>
      </c>
      <c r="J738" s="68">
        <f>13.4782 * CHOOSE(CONTROL!$C$22, $C$13, 100%, $E$13)</f>
        <v>13.478199999999999</v>
      </c>
      <c r="K738" s="68">
        <f>13.4829 * CHOOSE(CONTROL!$C$22, $C$13, 100%, $E$13)</f>
        <v>13.482900000000001</v>
      </c>
    </row>
    <row r="739" spans="1:11" ht="15">
      <c r="A739" s="13">
        <v>63614</v>
      </c>
      <c r="B739" s="67">
        <f>11.9525 * CHOOSE(CONTROL!$C$22, $C$13, 100%, $E$13)</f>
        <v>11.952500000000001</v>
      </c>
      <c r="C739" s="67">
        <f>11.9525 * CHOOSE(CONTROL!$C$22, $C$13, 100%, $E$13)</f>
        <v>11.952500000000001</v>
      </c>
      <c r="D739" s="67">
        <f>11.9564 * CHOOSE(CONTROL!$C$22, $C$13, 100%, $E$13)</f>
        <v>11.9564</v>
      </c>
      <c r="E739" s="68">
        <f>13.6654 * CHOOSE(CONTROL!$C$22, $C$13, 100%, $E$13)</f>
        <v>13.6654</v>
      </c>
      <c r="F739" s="68">
        <f>13.6654 * CHOOSE(CONTROL!$C$22, $C$13, 100%, $E$13)</f>
        <v>13.6654</v>
      </c>
      <c r="G739" s="68">
        <f>13.6701 * CHOOSE(CONTROL!$C$22, $C$13, 100%, $E$13)</f>
        <v>13.6701</v>
      </c>
      <c r="H739" s="68">
        <f>21.2969* CHOOSE(CONTROL!$C$22, $C$13, 100%, $E$13)</f>
        <v>21.296900000000001</v>
      </c>
      <c r="I739" s="68">
        <f>21.3017 * CHOOSE(CONTROL!$C$22, $C$13, 100%, $E$13)</f>
        <v>21.3017</v>
      </c>
      <c r="J739" s="68">
        <f>13.6654 * CHOOSE(CONTROL!$C$22, $C$13, 100%, $E$13)</f>
        <v>13.6654</v>
      </c>
      <c r="K739" s="68">
        <f>13.6701 * CHOOSE(CONTROL!$C$22, $C$13, 100%, $E$13)</f>
        <v>13.6701</v>
      </c>
    </row>
    <row r="740" spans="1:11" ht="15">
      <c r="A740" s="13">
        <v>63645</v>
      </c>
      <c r="B740" s="67">
        <f>11.9569 * CHOOSE(CONTROL!$C$22, $C$13, 100%, $E$13)</f>
        <v>11.956899999999999</v>
      </c>
      <c r="C740" s="67">
        <f>11.9569 * CHOOSE(CONTROL!$C$22, $C$13, 100%, $E$13)</f>
        <v>11.956899999999999</v>
      </c>
      <c r="D740" s="67">
        <f>11.9607 * CHOOSE(CONTROL!$C$22, $C$13, 100%, $E$13)</f>
        <v>11.960699999999999</v>
      </c>
      <c r="E740" s="68">
        <f>13.8645 * CHOOSE(CONTROL!$C$22, $C$13, 100%, $E$13)</f>
        <v>13.8645</v>
      </c>
      <c r="F740" s="68">
        <f>13.8645 * CHOOSE(CONTROL!$C$22, $C$13, 100%, $E$13)</f>
        <v>13.8645</v>
      </c>
      <c r="G740" s="68">
        <f>13.8692 * CHOOSE(CONTROL!$C$22, $C$13, 100%, $E$13)</f>
        <v>13.869199999999999</v>
      </c>
      <c r="H740" s="68">
        <f>21.3413* CHOOSE(CONTROL!$C$22, $C$13, 100%, $E$13)</f>
        <v>21.3413</v>
      </c>
      <c r="I740" s="68">
        <f>21.346 * CHOOSE(CONTROL!$C$22, $C$13, 100%, $E$13)</f>
        <v>21.346</v>
      </c>
      <c r="J740" s="68">
        <f>13.8645 * CHOOSE(CONTROL!$C$22, $C$13, 100%, $E$13)</f>
        <v>13.8645</v>
      </c>
      <c r="K740" s="68">
        <f>13.8692 * CHOOSE(CONTROL!$C$22, $C$13, 100%, $E$13)</f>
        <v>13.869199999999999</v>
      </c>
    </row>
    <row r="741" spans="1:11" ht="15">
      <c r="A741" s="13">
        <v>63675</v>
      </c>
      <c r="B741" s="67">
        <f>11.9569 * CHOOSE(CONTROL!$C$22, $C$13, 100%, $E$13)</f>
        <v>11.956899999999999</v>
      </c>
      <c r="C741" s="67">
        <f>11.9569 * CHOOSE(CONTROL!$C$22, $C$13, 100%, $E$13)</f>
        <v>11.956899999999999</v>
      </c>
      <c r="D741" s="67">
        <f>11.9624 * CHOOSE(CONTROL!$C$22, $C$13, 100%, $E$13)</f>
        <v>11.962400000000001</v>
      </c>
      <c r="E741" s="68">
        <f>13.9407 * CHOOSE(CONTROL!$C$22, $C$13, 100%, $E$13)</f>
        <v>13.9407</v>
      </c>
      <c r="F741" s="68">
        <f>13.9407 * CHOOSE(CONTROL!$C$22, $C$13, 100%, $E$13)</f>
        <v>13.9407</v>
      </c>
      <c r="G741" s="68">
        <f>13.9474 * CHOOSE(CONTROL!$C$22, $C$13, 100%, $E$13)</f>
        <v>13.9474</v>
      </c>
      <c r="H741" s="68">
        <f>21.3857* CHOOSE(CONTROL!$C$22, $C$13, 100%, $E$13)</f>
        <v>21.3857</v>
      </c>
      <c r="I741" s="68">
        <f>21.3925 * CHOOSE(CONTROL!$C$22, $C$13, 100%, $E$13)</f>
        <v>21.392499999999998</v>
      </c>
      <c r="J741" s="68">
        <f>13.9407 * CHOOSE(CONTROL!$C$22, $C$13, 100%, $E$13)</f>
        <v>13.9407</v>
      </c>
      <c r="K741" s="68">
        <f>13.9474 * CHOOSE(CONTROL!$C$22, $C$13, 100%, $E$13)</f>
        <v>13.9474</v>
      </c>
    </row>
    <row r="742" spans="1:11" ht="15">
      <c r="A742" s="13">
        <v>63706</v>
      </c>
      <c r="B742" s="67">
        <f>11.9629 * CHOOSE(CONTROL!$C$22, $C$13, 100%, $E$13)</f>
        <v>11.962899999999999</v>
      </c>
      <c r="C742" s="67">
        <f>11.9629 * CHOOSE(CONTROL!$C$22, $C$13, 100%, $E$13)</f>
        <v>11.962899999999999</v>
      </c>
      <c r="D742" s="67">
        <f>11.9684 * CHOOSE(CONTROL!$C$22, $C$13, 100%, $E$13)</f>
        <v>11.968400000000001</v>
      </c>
      <c r="E742" s="68">
        <f>13.8687 * CHOOSE(CONTROL!$C$22, $C$13, 100%, $E$13)</f>
        <v>13.8687</v>
      </c>
      <c r="F742" s="68">
        <f>13.8687 * CHOOSE(CONTROL!$C$22, $C$13, 100%, $E$13)</f>
        <v>13.8687</v>
      </c>
      <c r="G742" s="68">
        <f>13.8754 * CHOOSE(CONTROL!$C$22, $C$13, 100%, $E$13)</f>
        <v>13.875400000000001</v>
      </c>
      <c r="H742" s="68">
        <f>21.4303* CHOOSE(CONTROL!$C$22, $C$13, 100%, $E$13)</f>
        <v>21.430299999999999</v>
      </c>
      <c r="I742" s="68">
        <f>21.437 * CHOOSE(CONTROL!$C$22, $C$13, 100%, $E$13)</f>
        <v>21.437000000000001</v>
      </c>
      <c r="J742" s="68">
        <f>13.8687 * CHOOSE(CONTROL!$C$22, $C$13, 100%, $E$13)</f>
        <v>13.8687</v>
      </c>
      <c r="K742" s="68">
        <f>13.8754 * CHOOSE(CONTROL!$C$22, $C$13, 100%, $E$13)</f>
        <v>13.875400000000001</v>
      </c>
    </row>
    <row r="743" spans="1:11" ht="15">
      <c r="A743" s="13">
        <v>63736</v>
      </c>
      <c r="B743" s="67">
        <f>12.1458 * CHOOSE(CONTROL!$C$22, $C$13, 100%, $E$13)</f>
        <v>12.145799999999999</v>
      </c>
      <c r="C743" s="67">
        <f>12.1458 * CHOOSE(CONTROL!$C$22, $C$13, 100%, $E$13)</f>
        <v>12.145799999999999</v>
      </c>
      <c r="D743" s="67">
        <f>12.1513 * CHOOSE(CONTROL!$C$22, $C$13, 100%, $E$13)</f>
        <v>12.151300000000001</v>
      </c>
      <c r="E743" s="68">
        <f>14.0909 * CHOOSE(CONTROL!$C$22, $C$13, 100%, $E$13)</f>
        <v>14.0909</v>
      </c>
      <c r="F743" s="68">
        <f>14.0909 * CHOOSE(CONTROL!$C$22, $C$13, 100%, $E$13)</f>
        <v>14.0909</v>
      </c>
      <c r="G743" s="68">
        <f>14.0977 * CHOOSE(CONTROL!$C$22, $C$13, 100%, $E$13)</f>
        <v>14.0977</v>
      </c>
      <c r="H743" s="68">
        <f>21.4749* CHOOSE(CONTROL!$C$22, $C$13, 100%, $E$13)</f>
        <v>21.474900000000002</v>
      </c>
      <c r="I743" s="68">
        <f>21.4817 * CHOOSE(CONTROL!$C$22, $C$13, 100%, $E$13)</f>
        <v>21.4817</v>
      </c>
      <c r="J743" s="68">
        <f>14.0909 * CHOOSE(CONTROL!$C$22, $C$13, 100%, $E$13)</f>
        <v>14.0909</v>
      </c>
      <c r="K743" s="68">
        <f>14.0977 * CHOOSE(CONTROL!$C$22, $C$13, 100%, $E$13)</f>
        <v>14.0977</v>
      </c>
    </row>
    <row r="744" spans="1:11" ht="15">
      <c r="A744" s="13">
        <v>63767</v>
      </c>
      <c r="B744" s="67">
        <f>12.1525 * CHOOSE(CONTROL!$C$22, $C$13, 100%, $E$13)</f>
        <v>12.1525</v>
      </c>
      <c r="C744" s="67">
        <f>12.1525 * CHOOSE(CONTROL!$C$22, $C$13, 100%, $E$13)</f>
        <v>12.1525</v>
      </c>
      <c r="D744" s="67">
        <f>12.158 * CHOOSE(CONTROL!$C$22, $C$13, 100%, $E$13)</f>
        <v>12.157999999999999</v>
      </c>
      <c r="E744" s="68">
        <f>13.8668 * CHOOSE(CONTROL!$C$22, $C$13, 100%, $E$13)</f>
        <v>13.8668</v>
      </c>
      <c r="F744" s="68">
        <f>13.8668 * CHOOSE(CONTROL!$C$22, $C$13, 100%, $E$13)</f>
        <v>13.8668</v>
      </c>
      <c r="G744" s="68">
        <f>13.8736 * CHOOSE(CONTROL!$C$22, $C$13, 100%, $E$13)</f>
        <v>13.8736</v>
      </c>
      <c r="H744" s="68">
        <f>21.5197* CHOOSE(CONTROL!$C$22, $C$13, 100%, $E$13)</f>
        <v>21.5197</v>
      </c>
      <c r="I744" s="68">
        <f>21.5264 * CHOOSE(CONTROL!$C$22, $C$13, 100%, $E$13)</f>
        <v>21.526399999999999</v>
      </c>
      <c r="J744" s="68">
        <f>13.8668 * CHOOSE(CONTROL!$C$22, $C$13, 100%, $E$13)</f>
        <v>13.8668</v>
      </c>
      <c r="K744" s="68">
        <f>13.8736 * CHOOSE(CONTROL!$C$22, $C$13, 100%, $E$13)</f>
        <v>13.8736</v>
      </c>
    </row>
    <row r="745" spans="1:11" ht="15">
      <c r="A745" s="13">
        <v>63798</v>
      </c>
      <c r="B745" s="67">
        <f>12.1495 * CHOOSE(CONTROL!$C$22, $C$13, 100%, $E$13)</f>
        <v>12.1495</v>
      </c>
      <c r="C745" s="67">
        <f>12.1495 * CHOOSE(CONTROL!$C$22, $C$13, 100%, $E$13)</f>
        <v>12.1495</v>
      </c>
      <c r="D745" s="67">
        <f>12.155 * CHOOSE(CONTROL!$C$22, $C$13, 100%, $E$13)</f>
        <v>12.154999999999999</v>
      </c>
      <c r="E745" s="68">
        <f>13.8393 * CHOOSE(CONTROL!$C$22, $C$13, 100%, $E$13)</f>
        <v>13.8393</v>
      </c>
      <c r="F745" s="68">
        <f>13.8393 * CHOOSE(CONTROL!$C$22, $C$13, 100%, $E$13)</f>
        <v>13.8393</v>
      </c>
      <c r="G745" s="68">
        <f>13.8461 * CHOOSE(CONTROL!$C$22, $C$13, 100%, $E$13)</f>
        <v>13.8461</v>
      </c>
      <c r="H745" s="68">
        <f>21.5645* CHOOSE(CONTROL!$C$22, $C$13, 100%, $E$13)</f>
        <v>21.564499999999999</v>
      </c>
      <c r="I745" s="68">
        <f>21.5712 * CHOOSE(CONTROL!$C$22, $C$13, 100%, $E$13)</f>
        <v>21.571200000000001</v>
      </c>
      <c r="J745" s="68">
        <f>13.8393 * CHOOSE(CONTROL!$C$22, $C$13, 100%, $E$13)</f>
        <v>13.8393</v>
      </c>
      <c r="K745" s="68">
        <f>13.8461 * CHOOSE(CONTROL!$C$22, $C$13, 100%, $E$13)</f>
        <v>13.8461</v>
      </c>
    </row>
    <row r="746" spans="1:11" ht="15">
      <c r="A746" s="13">
        <v>63828</v>
      </c>
      <c r="B746" s="67">
        <f>12.1708 * CHOOSE(CONTROL!$C$22, $C$13, 100%, $E$13)</f>
        <v>12.1708</v>
      </c>
      <c r="C746" s="67">
        <f>12.1708 * CHOOSE(CONTROL!$C$22, $C$13, 100%, $E$13)</f>
        <v>12.1708</v>
      </c>
      <c r="D746" s="67">
        <f>12.1747 * CHOOSE(CONTROL!$C$22, $C$13, 100%, $E$13)</f>
        <v>12.1747</v>
      </c>
      <c r="E746" s="68">
        <f>13.9276 * CHOOSE(CONTROL!$C$22, $C$13, 100%, $E$13)</f>
        <v>13.9276</v>
      </c>
      <c r="F746" s="68">
        <f>13.9276 * CHOOSE(CONTROL!$C$22, $C$13, 100%, $E$13)</f>
        <v>13.9276</v>
      </c>
      <c r="G746" s="68">
        <f>13.9323 * CHOOSE(CONTROL!$C$22, $C$13, 100%, $E$13)</f>
        <v>13.9323</v>
      </c>
      <c r="H746" s="68">
        <f>21.6094* CHOOSE(CONTROL!$C$22, $C$13, 100%, $E$13)</f>
        <v>21.609400000000001</v>
      </c>
      <c r="I746" s="68">
        <f>21.6142 * CHOOSE(CONTROL!$C$22, $C$13, 100%, $E$13)</f>
        <v>21.6142</v>
      </c>
      <c r="J746" s="68">
        <f>13.9276 * CHOOSE(CONTROL!$C$22, $C$13, 100%, $E$13)</f>
        <v>13.9276</v>
      </c>
      <c r="K746" s="68">
        <f>13.9323 * CHOOSE(CONTROL!$C$22, $C$13, 100%, $E$13)</f>
        <v>13.9323</v>
      </c>
    </row>
    <row r="747" spans="1:11" ht="15">
      <c r="A747" s="13">
        <v>63859</v>
      </c>
      <c r="B747" s="67">
        <f>12.1739 * CHOOSE(CONTROL!$C$22, $C$13, 100%, $E$13)</f>
        <v>12.1739</v>
      </c>
      <c r="C747" s="67">
        <f>12.1739 * CHOOSE(CONTROL!$C$22, $C$13, 100%, $E$13)</f>
        <v>12.1739</v>
      </c>
      <c r="D747" s="67">
        <f>12.1777 * CHOOSE(CONTROL!$C$22, $C$13, 100%, $E$13)</f>
        <v>12.1777</v>
      </c>
      <c r="E747" s="68">
        <f>13.9805 * CHOOSE(CONTROL!$C$22, $C$13, 100%, $E$13)</f>
        <v>13.980499999999999</v>
      </c>
      <c r="F747" s="68">
        <f>13.9805 * CHOOSE(CONTROL!$C$22, $C$13, 100%, $E$13)</f>
        <v>13.980499999999999</v>
      </c>
      <c r="G747" s="68">
        <f>13.9853 * CHOOSE(CONTROL!$C$22, $C$13, 100%, $E$13)</f>
        <v>13.985300000000001</v>
      </c>
      <c r="H747" s="68">
        <f>21.6544* CHOOSE(CONTROL!$C$22, $C$13, 100%, $E$13)</f>
        <v>21.654399999999999</v>
      </c>
      <c r="I747" s="68">
        <f>21.6592 * CHOOSE(CONTROL!$C$22, $C$13, 100%, $E$13)</f>
        <v>21.659199999999998</v>
      </c>
      <c r="J747" s="68">
        <f>13.9805 * CHOOSE(CONTROL!$C$22, $C$13, 100%, $E$13)</f>
        <v>13.980499999999999</v>
      </c>
      <c r="K747" s="68">
        <f>13.9853 * CHOOSE(CONTROL!$C$22, $C$13, 100%, $E$13)</f>
        <v>13.985300000000001</v>
      </c>
    </row>
    <row r="748" spans="1:11" ht="15">
      <c r="A748" s="13">
        <v>63889</v>
      </c>
      <c r="B748" s="67">
        <f>12.1739 * CHOOSE(CONTROL!$C$22, $C$13, 100%, $E$13)</f>
        <v>12.1739</v>
      </c>
      <c r="C748" s="67">
        <f>12.1739 * CHOOSE(CONTROL!$C$22, $C$13, 100%, $E$13)</f>
        <v>12.1739</v>
      </c>
      <c r="D748" s="67">
        <f>12.1777 * CHOOSE(CONTROL!$C$22, $C$13, 100%, $E$13)</f>
        <v>12.1777</v>
      </c>
      <c r="E748" s="68">
        <f>13.8534 * CHOOSE(CONTROL!$C$22, $C$13, 100%, $E$13)</f>
        <v>13.853400000000001</v>
      </c>
      <c r="F748" s="68">
        <f>13.8534 * CHOOSE(CONTROL!$C$22, $C$13, 100%, $E$13)</f>
        <v>13.853400000000001</v>
      </c>
      <c r="G748" s="68">
        <f>13.8582 * CHOOSE(CONTROL!$C$22, $C$13, 100%, $E$13)</f>
        <v>13.8582</v>
      </c>
      <c r="H748" s="68">
        <f>21.6995* CHOOSE(CONTROL!$C$22, $C$13, 100%, $E$13)</f>
        <v>21.6995</v>
      </c>
      <c r="I748" s="68">
        <f>21.7043 * CHOOSE(CONTROL!$C$22, $C$13, 100%, $E$13)</f>
        <v>21.7043</v>
      </c>
      <c r="J748" s="68">
        <f>13.8534 * CHOOSE(CONTROL!$C$22, $C$13, 100%, $E$13)</f>
        <v>13.853400000000001</v>
      </c>
      <c r="K748" s="68">
        <f>13.8582 * CHOOSE(CONTROL!$C$22, $C$13, 100%, $E$13)</f>
        <v>13.8582</v>
      </c>
    </row>
    <row r="749" spans="1:11" ht="15">
      <c r="A749" s="13">
        <v>63920</v>
      </c>
      <c r="B749" s="67">
        <f>12.1942 * CHOOSE(CONTROL!$C$22, $C$13, 100%, $E$13)</f>
        <v>12.1942</v>
      </c>
      <c r="C749" s="67">
        <f>12.1942 * CHOOSE(CONTROL!$C$22, $C$13, 100%, $E$13)</f>
        <v>12.1942</v>
      </c>
      <c r="D749" s="67">
        <f>12.198 * CHOOSE(CONTROL!$C$22, $C$13, 100%, $E$13)</f>
        <v>12.198</v>
      </c>
      <c r="E749" s="68">
        <f>13.9752 * CHOOSE(CONTROL!$C$22, $C$13, 100%, $E$13)</f>
        <v>13.975199999999999</v>
      </c>
      <c r="F749" s="68">
        <f>13.9752 * CHOOSE(CONTROL!$C$22, $C$13, 100%, $E$13)</f>
        <v>13.975199999999999</v>
      </c>
      <c r="G749" s="68">
        <f>13.9799 * CHOOSE(CONTROL!$C$22, $C$13, 100%, $E$13)</f>
        <v>13.979900000000001</v>
      </c>
      <c r="H749" s="68">
        <f>21.6121* CHOOSE(CONTROL!$C$22, $C$13, 100%, $E$13)</f>
        <v>21.612100000000002</v>
      </c>
      <c r="I749" s="68">
        <f>21.6168 * CHOOSE(CONTROL!$C$22, $C$13, 100%, $E$13)</f>
        <v>21.616800000000001</v>
      </c>
      <c r="J749" s="68">
        <f>13.9752 * CHOOSE(CONTROL!$C$22, $C$13, 100%, $E$13)</f>
        <v>13.975199999999999</v>
      </c>
      <c r="K749" s="68">
        <f>13.9799 * CHOOSE(CONTROL!$C$22, $C$13, 100%, $E$13)</f>
        <v>13.979900000000001</v>
      </c>
    </row>
    <row r="750" spans="1:11" ht="15">
      <c r="A750" s="13">
        <v>63951</v>
      </c>
      <c r="B750" s="67">
        <f>12.1911 * CHOOSE(CONTROL!$C$22, $C$13, 100%, $E$13)</f>
        <v>12.1911</v>
      </c>
      <c r="C750" s="67">
        <f>12.1911 * CHOOSE(CONTROL!$C$22, $C$13, 100%, $E$13)</f>
        <v>12.1911</v>
      </c>
      <c r="D750" s="67">
        <f>12.195 * CHOOSE(CONTROL!$C$22, $C$13, 100%, $E$13)</f>
        <v>12.195</v>
      </c>
      <c r="E750" s="68">
        <f>13.728 * CHOOSE(CONTROL!$C$22, $C$13, 100%, $E$13)</f>
        <v>13.728</v>
      </c>
      <c r="F750" s="68">
        <f>13.728 * CHOOSE(CONTROL!$C$22, $C$13, 100%, $E$13)</f>
        <v>13.728</v>
      </c>
      <c r="G750" s="68">
        <f>13.7327 * CHOOSE(CONTROL!$C$22, $C$13, 100%, $E$13)</f>
        <v>13.732699999999999</v>
      </c>
      <c r="H750" s="68">
        <f>21.6571* CHOOSE(CONTROL!$C$22, $C$13, 100%, $E$13)</f>
        <v>21.6571</v>
      </c>
      <c r="I750" s="68">
        <f>21.6619 * CHOOSE(CONTROL!$C$22, $C$13, 100%, $E$13)</f>
        <v>21.661899999999999</v>
      </c>
      <c r="J750" s="68">
        <f>13.728 * CHOOSE(CONTROL!$C$22, $C$13, 100%, $E$13)</f>
        <v>13.728</v>
      </c>
      <c r="K750" s="68">
        <f>13.7327 * CHOOSE(CONTROL!$C$22, $C$13, 100%, $E$13)</f>
        <v>13.732699999999999</v>
      </c>
    </row>
    <row r="751" spans="1:11" ht="15">
      <c r="A751" s="13">
        <v>63979</v>
      </c>
      <c r="B751" s="67">
        <f>12.1881 * CHOOSE(CONTROL!$C$22, $C$13, 100%, $E$13)</f>
        <v>12.1881</v>
      </c>
      <c r="C751" s="67">
        <f>12.1881 * CHOOSE(CONTROL!$C$22, $C$13, 100%, $E$13)</f>
        <v>12.1881</v>
      </c>
      <c r="D751" s="67">
        <f>12.192 * CHOOSE(CONTROL!$C$22, $C$13, 100%, $E$13)</f>
        <v>12.192</v>
      </c>
      <c r="E751" s="68">
        <f>13.9191 * CHOOSE(CONTROL!$C$22, $C$13, 100%, $E$13)</f>
        <v>13.9191</v>
      </c>
      <c r="F751" s="68">
        <f>13.9191 * CHOOSE(CONTROL!$C$22, $C$13, 100%, $E$13)</f>
        <v>13.9191</v>
      </c>
      <c r="G751" s="68">
        <f>13.9238 * CHOOSE(CONTROL!$C$22, $C$13, 100%, $E$13)</f>
        <v>13.9238</v>
      </c>
      <c r="H751" s="68">
        <f>21.7022* CHOOSE(CONTROL!$C$22, $C$13, 100%, $E$13)</f>
        <v>21.702200000000001</v>
      </c>
      <c r="I751" s="68">
        <f>21.707 * CHOOSE(CONTROL!$C$22, $C$13, 100%, $E$13)</f>
        <v>21.707000000000001</v>
      </c>
      <c r="J751" s="68">
        <f>13.9191 * CHOOSE(CONTROL!$C$22, $C$13, 100%, $E$13)</f>
        <v>13.9191</v>
      </c>
      <c r="K751" s="68">
        <f>13.9238 * CHOOSE(CONTROL!$C$22, $C$13, 100%, $E$13)</f>
        <v>13.9238</v>
      </c>
    </row>
    <row r="752" spans="1:11" ht="15">
      <c r="A752" s="13">
        <v>64010</v>
      </c>
      <c r="B752" s="67">
        <f>12.1926 * CHOOSE(CONTROL!$C$22, $C$13, 100%, $E$13)</f>
        <v>12.192600000000001</v>
      </c>
      <c r="C752" s="67">
        <f>12.1926 * CHOOSE(CONTROL!$C$22, $C$13, 100%, $E$13)</f>
        <v>12.192600000000001</v>
      </c>
      <c r="D752" s="67">
        <f>12.1965 * CHOOSE(CONTROL!$C$22, $C$13, 100%, $E$13)</f>
        <v>12.1965</v>
      </c>
      <c r="E752" s="68">
        <f>14.1223 * CHOOSE(CONTROL!$C$22, $C$13, 100%, $E$13)</f>
        <v>14.122299999999999</v>
      </c>
      <c r="F752" s="68">
        <f>14.1223 * CHOOSE(CONTROL!$C$22, $C$13, 100%, $E$13)</f>
        <v>14.122299999999999</v>
      </c>
      <c r="G752" s="68">
        <f>14.1271 * CHOOSE(CONTROL!$C$22, $C$13, 100%, $E$13)</f>
        <v>14.1271</v>
      </c>
      <c r="H752" s="68">
        <f>21.7474* CHOOSE(CONTROL!$C$22, $C$13, 100%, $E$13)</f>
        <v>21.747399999999999</v>
      </c>
      <c r="I752" s="68">
        <f>21.7522 * CHOOSE(CONTROL!$C$22, $C$13, 100%, $E$13)</f>
        <v>21.752199999999998</v>
      </c>
      <c r="J752" s="68">
        <f>14.1223 * CHOOSE(CONTROL!$C$22, $C$13, 100%, $E$13)</f>
        <v>14.122299999999999</v>
      </c>
      <c r="K752" s="68">
        <f>14.1271 * CHOOSE(CONTROL!$C$22, $C$13, 100%, $E$13)</f>
        <v>14.1271</v>
      </c>
    </row>
    <row r="753" spans="1:11" ht="15">
      <c r="A753" s="13">
        <v>64040</v>
      </c>
      <c r="B753" s="67">
        <f>12.1926 * CHOOSE(CONTROL!$C$22, $C$13, 100%, $E$13)</f>
        <v>12.192600000000001</v>
      </c>
      <c r="C753" s="67">
        <f>12.1926 * CHOOSE(CONTROL!$C$22, $C$13, 100%, $E$13)</f>
        <v>12.192600000000001</v>
      </c>
      <c r="D753" s="67">
        <f>12.1981 * CHOOSE(CONTROL!$C$22, $C$13, 100%, $E$13)</f>
        <v>12.1981</v>
      </c>
      <c r="E753" s="68">
        <f>14.2001 * CHOOSE(CONTROL!$C$22, $C$13, 100%, $E$13)</f>
        <v>14.200100000000001</v>
      </c>
      <c r="F753" s="68">
        <f>14.2001 * CHOOSE(CONTROL!$C$22, $C$13, 100%, $E$13)</f>
        <v>14.200100000000001</v>
      </c>
      <c r="G753" s="68">
        <f>14.2069 * CHOOSE(CONTROL!$C$22, $C$13, 100%, $E$13)</f>
        <v>14.206899999999999</v>
      </c>
      <c r="H753" s="68">
        <f>21.7927* CHOOSE(CONTROL!$C$22, $C$13, 100%, $E$13)</f>
        <v>21.7927</v>
      </c>
      <c r="I753" s="68">
        <f>21.7995 * CHOOSE(CONTROL!$C$22, $C$13, 100%, $E$13)</f>
        <v>21.799499999999998</v>
      </c>
      <c r="J753" s="68">
        <f>14.2001 * CHOOSE(CONTROL!$C$22, $C$13, 100%, $E$13)</f>
        <v>14.200100000000001</v>
      </c>
      <c r="K753" s="68">
        <f>14.2069 * CHOOSE(CONTROL!$C$22, $C$13, 100%, $E$13)</f>
        <v>14.206899999999999</v>
      </c>
    </row>
    <row r="754" spans="1:11" ht="15">
      <c r="A754" s="13">
        <v>64071</v>
      </c>
      <c r="B754" s="67">
        <f>12.1987 * CHOOSE(CONTROL!$C$22, $C$13, 100%, $E$13)</f>
        <v>12.198700000000001</v>
      </c>
      <c r="C754" s="67">
        <f>12.1987 * CHOOSE(CONTROL!$C$22, $C$13, 100%, $E$13)</f>
        <v>12.198700000000001</v>
      </c>
      <c r="D754" s="67">
        <f>12.2042 * CHOOSE(CONTROL!$C$22, $C$13, 100%, $E$13)</f>
        <v>12.2042</v>
      </c>
      <c r="E754" s="68">
        <f>14.1266 * CHOOSE(CONTROL!$C$22, $C$13, 100%, $E$13)</f>
        <v>14.1266</v>
      </c>
      <c r="F754" s="68">
        <f>14.1266 * CHOOSE(CONTROL!$C$22, $C$13, 100%, $E$13)</f>
        <v>14.1266</v>
      </c>
      <c r="G754" s="68">
        <f>14.1333 * CHOOSE(CONTROL!$C$22, $C$13, 100%, $E$13)</f>
        <v>14.1333</v>
      </c>
      <c r="H754" s="68">
        <f>21.8381* CHOOSE(CONTROL!$C$22, $C$13, 100%, $E$13)</f>
        <v>21.838100000000001</v>
      </c>
      <c r="I754" s="68">
        <f>21.8449 * CHOOSE(CONTROL!$C$22, $C$13, 100%, $E$13)</f>
        <v>21.844899999999999</v>
      </c>
      <c r="J754" s="68">
        <f>14.1266 * CHOOSE(CONTROL!$C$22, $C$13, 100%, $E$13)</f>
        <v>14.1266</v>
      </c>
      <c r="K754" s="68">
        <f>14.1333 * CHOOSE(CONTROL!$C$22, $C$13, 100%, $E$13)</f>
        <v>14.1333</v>
      </c>
    </row>
    <row r="755" spans="1:11" ht="15">
      <c r="A755" s="13">
        <v>64101</v>
      </c>
      <c r="B755" s="67">
        <f>12.385 * CHOOSE(CONTROL!$C$22, $C$13, 100%, $E$13)</f>
        <v>12.385</v>
      </c>
      <c r="C755" s="67">
        <f>12.385 * CHOOSE(CONTROL!$C$22, $C$13, 100%, $E$13)</f>
        <v>12.385</v>
      </c>
      <c r="D755" s="67">
        <f>12.3905 * CHOOSE(CONTROL!$C$22, $C$13, 100%, $E$13)</f>
        <v>12.390499999999999</v>
      </c>
      <c r="E755" s="68">
        <f>14.3527 * CHOOSE(CONTROL!$C$22, $C$13, 100%, $E$13)</f>
        <v>14.3527</v>
      </c>
      <c r="F755" s="68">
        <f>14.3527 * CHOOSE(CONTROL!$C$22, $C$13, 100%, $E$13)</f>
        <v>14.3527</v>
      </c>
      <c r="G755" s="68">
        <f>14.3594 * CHOOSE(CONTROL!$C$22, $C$13, 100%, $E$13)</f>
        <v>14.359400000000001</v>
      </c>
      <c r="H755" s="68">
        <f>21.8836* CHOOSE(CONTROL!$C$22, $C$13, 100%, $E$13)</f>
        <v>21.883600000000001</v>
      </c>
      <c r="I755" s="68">
        <f>21.8904 * CHOOSE(CONTROL!$C$22, $C$13, 100%, $E$13)</f>
        <v>21.8904</v>
      </c>
      <c r="J755" s="68">
        <f>14.3527 * CHOOSE(CONTROL!$C$22, $C$13, 100%, $E$13)</f>
        <v>14.3527</v>
      </c>
      <c r="K755" s="68">
        <f>14.3594 * CHOOSE(CONTROL!$C$22, $C$13, 100%, $E$13)</f>
        <v>14.359400000000001</v>
      </c>
    </row>
    <row r="756" spans="1:11" ht="15">
      <c r="A756" s="13">
        <v>64132</v>
      </c>
      <c r="B756" s="67">
        <f>12.3917 * CHOOSE(CONTROL!$C$22, $C$13, 100%, $E$13)</f>
        <v>12.3917</v>
      </c>
      <c r="C756" s="67">
        <f>12.3917 * CHOOSE(CONTROL!$C$22, $C$13, 100%, $E$13)</f>
        <v>12.3917</v>
      </c>
      <c r="D756" s="67">
        <f>12.3972 * CHOOSE(CONTROL!$C$22, $C$13, 100%, $E$13)</f>
        <v>12.3972</v>
      </c>
      <c r="E756" s="68">
        <f>14.1239 * CHOOSE(CONTROL!$C$22, $C$13, 100%, $E$13)</f>
        <v>14.123900000000001</v>
      </c>
      <c r="F756" s="68">
        <f>14.1239 * CHOOSE(CONTROL!$C$22, $C$13, 100%, $E$13)</f>
        <v>14.123900000000001</v>
      </c>
      <c r="G756" s="68">
        <f>14.1307 * CHOOSE(CONTROL!$C$22, $C$13, 100%, $E$13)</f>
        <v>14.130699999999999</v>
      </c>
      <c r="H756" s="68">
        <f>21.9292* CHOOSE(CONTROL!$C$22, $C$13, 100%, $E$13)</f>
        <v>21.929200000000002</v>
      </c>
      <c r="I756" s="68">
        <f>21.9359 * CHOOSE(CONTROL!$C$22, $C$13, 100%, $E$13)</f>
        <v>21.9359</v>
      </c>
      <c r="J756" s="68">
        <f>14.1239 * CHOOSE(CONTROL!$C$22, $C$13, 100%, $E$13)</f>
        <v>14.123900000000001</v>
      </c>
      <c r="K756" s="68">
        <f>14.1307 * CHOOSE(CONTROL!$C$22, $C$13, 100%, $E$13)</f>
        <v>14.130699999999999</v>
      </c>
    </row>
    <row r="757" spans="1:11" ht="15">
      <c r="A757" s="13">
        <v>64163</v>
      </c>
      <c r="B757" s="67">
        <f>12.3886 * CHOOSE(CONTROL!$C$22, $C$13, 100%, $E$13)</f>
        <v>12.3886</v>
      </c>
      <c r="C757" s="67">
        <f>12.3886 * CHOOSE(CONTROL!$C$22, $C$13, 100%, $E$13)</f>
        <v>12.3886</v>
      </c>
      <c r="D757" s="67">
        <f>12.3941 * CHOOSE(CONTROL!$C$22, $C$13, 100%, $E$13)</f>
        <v>12.3941</v>
      </c>
      <c r="E757" s="68">
        <f>14.0959 * CHOOSE(CONTROL!$C$22, $C$13, 100%, $E$13)</f>
        <v>14.0959</v>
      </c>
      <c r="F757" s="68">
        <f>14.0959 * CHOOSE(CONTROL!$C$22, $C$13, 100%, $E$13)</f>
        <v>14.0959</v>
      </c>
      <c r="G757" s="68">
        <f>14.1026 * CHOOSE(CONTROL!$C$22, $C$13, 100%, $E$13)</f>
        <v>14.102600000000001</v>
      </c>
      <c r="H757" s="68">
        <f>21.9749* CHOOSE(CONTROL!$C$22, $C$13, 100%, $E$13)</f>
        <v>21.974900000000002</v>
      </c>
      <c r="I757" s="68">
        <f>21.9816 * CHOOSE(CONTROL!$C$22, $C$13, 100%, $E$13)</f>
        <v>21.9816</v>
      </c>
      <c r="J757" s="68">
        <f>14.0959 * CHOOSE(CONTROL!$C$22, $C$13, 100%, $E$13)</f>
        <v>14.0959</v>
      </c>
      <c r="K757" s="68">
        <f>14.1026 * CHOOSE(CONTROL!$C$22, $C$13, 100%, $E$13)</f>
        <v>14.102600000000001</v>
      </c>
    </row>
    <row r="758" spans="1:11" ht="15">
      <c r="A758" s="13">
        <v>64193</v>
      </c>
      <c r="B758" s="67">
        <f>12.4108 * CHOOSE(CONTROL!$C$22, $C$13, 100%, $E$13)</f>
        <v>12.4108</v>
      </c>
      <c r="C758" s="67">
        <f>12.4108 * CHOOSE(CONTROL!$C$22, $C$13, 100%, $E$13)</f>
        <v>12.4108</v>
      </c>
      <c r="D758" s="67">
        <f>12.4146 * CHOOSE(CONTROL!$C$22, $C$13, 100%, $E$13)</f>
        <v>12.4146</v>
      </c>
      <c r="E758" s="68">
        <f>14.1862 * CHOOSE(CONTROL!$C$22, $C$13, 100%, $E$13)</f>
        <v>14.186199999999999</v>
      </c>
      <c r="F758" s="68">
        <f>14.1862 * CHOOSE(CONTROL!$C$22, $C$13, 100%, $E$13)</f>
        <v>14.186199999999999</v>
      </c>
      <c r="G758" s="68">
        <f>14.191 * CHOOSE(CONTROL!$C$22, $C$13, 100%, $E$13)</f>
        <v>14.191000000000001</v>
      </c>
      <c r="H758" s="68">
        <f>22.0207* CHOOSE(CONTROL!$C$22, $C$13, 100%, $E$13)</f>
        <v>22.020700000000001</v>
      </c>
      <c r="I758" s="68">
        <f>22.0254 * CHOOSE(CONTROL!$C$22, $C$13, 100%, $E$13)</f>
        <v>22.025400000000001</v>
      </c>
      <c r="J758" s="68">
        <f>14.1862 * CHOOSE(CONTROL!$C$22, $C$13, 100%, $E$13)</f>
        <v>14.186199999999999</v>
      </c>
      <c r="K758" s="68">
        <f>14.191 * CHOOSE(CONTROL!$C$22, $C$13, 100%, $E$13)</f>
        <v>14.191000000000001</v>
      </c>
    </row>
    <row r="759" spans="1:11" ht="15">
      <c r="A759" s="13">
        <v>64224</v>
      </c>
      <c r="B759" s="67">
        <f>12.4138 * CHOOSE(CONTROL!$C$22, $C$13, 100%, $E$13)</f>
        <v>12.4138</v>
      </c>
      <c r="C759" s="67">
        <f>12.4138 * CHOOSE(CONTROL!$C$22, $C$13, 100%, $E$13)</f>
        <v>12.4138</v>
      </c>
      <c r="D759" s="67">
        <f>12.4177 * CHOOSE(CONTROL!$C$22, $C$13, 100%, $E$13)</f>
        <v>12.4177</v>
      </c>
      <c r="E759" s="68">
        <f>14.2402 * CHOOSE(CONTROL!$C$22, $C$13, 100%, $E$13)</f>
        <v>14.2402</v>
      </c>
      <c r="F759" s="68">
        <f>14.2402 * CHOOSE(CONTROL!$C$22, $C$13, 100%, $E$13)</f>
        <v>14.2402</v>
      </c>
      <c r="G759" s="68">
        <f>14.245 * CHOOSE(CONTROL!$C$22, $C$13, 100%, $E$13)</f>
        <v>14.244999999999999</v>
      </c>
      <c r="H759" s="68">
        <f>22.0666* CHOOSE(CONTROL!$C$22, $C$13, 100%, $E$13)</f>
        <v>22.066600000000001</v>
      </c>
      <c r="I759" s="68">
        <f>22.0713 * CHOOSE(CONTROL!$C$22, $C$13, 100%, $E$13)</f>
        <v>22.071300000000001</v>
      </c>
      <c r="J759" s="68">
        <f>14.2402 * CHOOSE(CONTROL!$C$22, $C$13, 100%, $E$13)</f>
        <v>14.2402</v>
      </c>
      <c r="K759" s="68">
        <f>14.245 * CHOOSE(CONTROL!$C$22, $C$13, 100%, $E$13)</f>
        <v>14.244999999999999</v>
      </c>
    </row>
    <row r="760" spans="1:11" ht="15">
      <c r="A760" s="13">
        <v>64254</v>
      </c>
      <c r="B760" s="67">
        <f>12.4138 * CHOOSE(CONTROL!$C$22, $C$13, 100%, $E$13)</f>
        <v>12.4138</v>
      </c>
      <c r="C760" s="67">
        <f>12.4138 * CHOOSE(CONTROL!$C$22, $C$13, 100%, $E$13)</f>
        <v>12.4138</v>
      </c>
      <c r="D760" s="67">
        <f>12.4177 * CHOOSE(CONTROL!$C$22, $C$13, 100%, $E$13)</f>
        <v>12.4177</v>
      </c>
      <c r="E760" s="68">
        <f>14.1105 * CHOOSE(CONTROL!$C$22, $C$13, 100%, $E$13)</f>
        <v>14.1105</v>
      </c>
      <c r="F760" s="68">
        <f>14.1105 * CHOOSE(CONTROL!$C$22, $C$13, 100%, $E$13)</f>
        <v>14.1105</v>
      </c>
      <c r="G760" s="68">
        <f>14.1153 * CHOOSE(CONTROL!$C$22, $C$13, 100%, $E$13)</f>
        <v>14.1153</v>
      </c>
      <c r="H760" s="68">
        <f>22.1125* CHOOSE(CONTROL!$C$22, $C$13, 100%, $E$13)</f>
        <v>22.112500000000001</v>
      </c>
      <c r="I760" s="68">
        <f>22.1173 * CHOOSE(CONTROL!$C$22, $C$13, 100%, $E$13)</f>
        <v>22.1173</v>
      </c>
      <c r="J760" s="68">
        <f>14.1105 * CHOOSE(CONTROL!$C$22, $C$13, 100%, $E$13)</f>
        <v>14.1105</v>
      </c>
      <c r="K760" s="68">
        <f>14.1153 * CHOOSE(CONTROL!$C$22, $C$13, 100%, $E$13)</f>
        <v>14.1153</v>
      </c>
    </row>
    <row r="761" spans="1:11" ht="15">
      <c r="A761" s="13">
        <v>64285</v>
      </c>
      <c r="B761" s="67">
        <f>12.4297 * CHOOSE(CONTROL!$C$22, $C$13, 100%, $E$13)</f>
        <v>12.4297</v>
      </c>
      <c r="C761" s="67">
        <f>12.4297 * CHOOSE(CONTROL!$C$22, $C$13, 100%, $E$13)</f>
        <v>12.4297</v>
      </c>
      <c r="D761" s="67">
        <f>12.4336 * CHOOSE(CONTROL!$C$22, $C$13, 100%, $E$13)</f>
        <v>12.4336</v>
      </c>
      <c r="E761" s="68">
        <f>14.2299 * CHOOSE(CONTROL!$C$22, $C$13, 100%, $E$13)</f>
        <v>14.229900000000001</v>
      </c>
      <c r="F761" s="68">
        <f>14.2299 * CHOOSE(CONTROL!$C$22, $C$13, 100%, $E$13)</f>
        <v>14.229900000000001</v>
      </c>
      <c r="G761" s="68">
        <f>14.2347 * CHOOSE(CONTROL!$C$22, $C$13, 100%, $E$13)</f>
        <v>14.2347</v>
      </c>
      <c r="H761" s="68">
        <f>22.0157* CHOOSE(CONTROL!$C$22, $C$13, 100%, $E$13)</f>
        <v>22.015699999999999</v>
      </c>
      <c r="I761" s="68">
        <f>22.0205 * CHOOSE(CONTROL!$C$22, $C$13, 100%, $E$13)</f>
        <v>22.020499999999998</v>
      </c>
      <c r="J761" s="68">
        <f>14.2299 * CHOOSE(CONTROL!$C$22, $C$13, 100%, $E$13)</f>
        <v>14.229900000000001</v>
      </c>
      <c r="K761" s="68">
        <f>14.2347 * CHOOSE(CONTROL!$C$22, $C$13, 100%, $E$13)</f>
        <v>14.2347</v>
      </c>
    </row>
    <row r="762" spans="1:11" ht="15">
      <c r="A762" s="13">
        <v>64316</v>
      </c>
      <c r="B762" s="67">
        <f>12.4267 * CHOOSE(CONTROL!$C$22, $C$13, 100%, $E$13)</f>
        <v>12.4267</v>
      </c>
      <c r="C762" s="67">
        <f>12.4267 * CHOOSE(CONTROL!$C$22, $C$13, 100%, $E$13)</f>
        <v>12.4267</v>
      </c>
      <c r="D762" s="67">
        <f>12.4306 * CHOOSE(CONTROL!$C$22, $C$13, 100%, $E$13)</f>
        <v>12.4306</v>
      </c>
      <c r="E762" s="68">
        <f>13.9777 * CHOOSE(CONTROL!$C$22, $C$13, 100%, $E$13)</f>
        <v>13.9777</v>
      </c>
      <c r="F762" s="68">
        <f>13.9777 * CHOOSE(CONTROL!$C$22, $C$13, 100%, $E$13)</f>
        <v>13.9777</v>
      </c>
      <c r="G762" s="68">
        <f>13.9825 * CHOOSE(CONTROL!$C$22, $C$13, 100%, $E$13)</f>
        <v>13.9825</v>
      </c>
      <c r="H762" s="68">
        <f>22.0616* CHOOSE(CONTROL!$C$22, $C$13, 100%, $E$13)</f>
        <v>22.061599999999999</v>
      </c>
      <c r="I762" s="68">
        <f>22.0663 * CHOOSE(CONTROL!$C$22, $C$13, 100%, $E$13)</f>
        <v>22.066299999999998</v>
      </c>
      <c r="J762" s="68">
        <f>13.9777 * CHOOSE(CONTROL!$C$22, $C$13, 100%, $E$13)</f>
        <v>13.9777</v>
      </c>
      <c r="K762" s="68">
        <f>13.9825 * CHOOSE(CONTROL!$C$22, $C$13, 100%, $E$13)</f>
        <v>13.9825</v>
      </c>
    </row>
    <row r="763" spans="1:11" ht="15">
      <c r="A763" s="13">
        <v>64345</v>
      </c>
      <c r="B763" s="67">
        <f>12.4237 * CHOOSE(CONTROL!$C$22, $C$13, 100%, $E$13)</f>
        <v>12.4237</v>
      </c>
      <c r="C763" s="67">
        <f>12.4237 * CHOOSE(CONTROL!$C$22, $C$13, 100%, $E$13)</f>
        <v>12.4237</v>
      </c>
      <c r="D763" s="67">
        <f>12.4275 * CHOOSE(CONTROL!$C$22, $C$13, 100%, $E$13)</f>
        <v>12.4275</v>
      </c>
      <c r="E763" s="68">
        <f>14.1727 * CHOOSE(CONTROL!$C$22, $C$13, 100%, $E$13)</f>
        <v>14.172700000000001</v>
      </c>
      <c r="F763" s="68">
        <f>14.1727 * CHOOSE(CONTROL!$C$22, $C$13, 100%, $E$13)</f>
        <v>14.172700000000001</v>
      </c>
      <c r="G763" s="68">
        <f>14.1775 * CHOOSE(CONTROL!$C$22, $C$13, 100%, $E$13)</f>
        <v>14.1775</v>
      </c>
      <c r="H763" s="68">
        <f>22.1075* CHOOSE(CONTROL!$C$22, $C$13, 100%, $E$13)</f>
        <v>22.107500000000002</v>
      </c>
      <c r="I763" s="68">
        <f>22.1123 * CHOOSE(CONTROL!$C$22, $C$13, 100%, $E$13)</f>
        <v>22.112300000000001</v>
      </c>
      <c r="J763" s="68">
        <f>14.1727 * CHOOSE(CONTROL!$C$22, $C$13, 100%, $E$13)</f>
        <v>14.172700000000001</v>
      </c>
      <c r="K763" s="68">
        <f>14.1775 * CHOOSE(CONTROL!$C$22, $C$13, 100%, $E$13)</f>
        <v>14.1775</v>
      </c>
    </row>
    <row r="764" spans="1:11" ht="15">
      <c r="A764" s="13">
        <v>64376</v>
      </c>
      <c r="B764" s="67">
        <f>12.4284 * CHOOSE(CONTROL!$C$22, $C$13, 100%, $E$13)</f>
        <v>12.4284</v>
      </c>
      <c r="C764" s="67">
        <f>12.4284 * CHOOSE(CONTROL!$C$22, $C$13, 100%, $E$13)</f>
        <v>12.4284</v>
      </c>
      <c r="D764" s="67">
        <f>12.4323 * CHOOSE(CONTROL!$C$22, $C$13, 100%, $E$13)</f>
        <v>12.4323</v>
      </c>
      <c r="E764" s="68">
        <f>14.3802 * CHOOSE(CONTROL!$C$22, $C$13, 100%, $E$13)</f>
        <v>14.3802</v>
      </c>
      <c r="F764" s="68">
        <f>14.3802 * CHOOSE(CONTROL!$C$22, $C$13, 100%, $E$13)</f>
        <v>14.3802</v>
      </c>
      <c r="G764" s="68">
        <f>14.3849 * CHOOSE(CONTROL!$C$22, $C$13, 100%, $E$13)</f>
        <v>14.3849</v>
      </c>
      <c r="H764" s="68">
        <f>22.1536* CHOOSE(CONTROL!$C$22, $C$13, 100%, $E$13)</f>
        <v>22.153600000000001</v>
      </c>
      <c r="I764" s="68">
        <f>22.1583 * CHOOSE(CONTROL!$C$22, $C$13, 100%, $E$13)</f>
        <v>22.158300000000001</v>
      </c>
      <c r="J764" s="68">
        <f>14.3802 * CHOOSE(CONTROL!$C$22, $C$13, 100%, $E$13)</f>
        <v>14.3802</v>
      </c>
      <c r="K764" s="68">
        <f>14.3849 * CHOOSE(CONTROL!$C$22, $C$13, 100%, $E$13)</f>
        <v>14.3849</v>
      </c>
    </row>
    <row r="765" spans="1:11" ht="15">
      <c r="A765" s="13">
        <v>64406</v>
      </c>
      <c r="B765" s="67">
        <f>12.4284 * CHOOSE(CONTROL!$C$22, $C$13, 100%, $E$13)</f>
        <v>12.4284</v>
      </c>
      <c r="C765" s="67">
        <f>12.4284 * CHOOSE(CONTROL!$C$22, $C$13, 100%, $E$13)</f>
        <v>12.4284</v>
      </c>
      <c r="D765" s="67">
        <f>12.4339 * CHOOSE(CONTROL!$C$22, $C$13, 100%, $E$13)</f>
        <v>12.4339</v>
      </c>
      <c r="E765" s="68">
        <f>14.4596 * CHOOSE(CONTROL!$C$22, $C$13, 100%, $E$13)</f>
        <v>14.4596</v>
      </c>
      <c r="F765" s="68">
        <f>14.4596 * CHOOSE(CONTROL!$C$22, $C$13, 100%, $E$13)</f>
        <v>14.4596</v>
      </c>
      <c r="G765" s="68">
        <f>14.4663 * CHOOSE(CONTROL!$C$22, $C$13, 100%, $E$13)</f>
        <v>14.4663</v>
      </c>
      <c r="H765" s="68">
        <f>22.1997* CHOOSE(CONTROL!$C$22, $C$13, 100%, $E$13)</f>
        <v>22.1997</v>
      </c>
      <c r="I765" s="68">
        <f>22.2065 * CHOOSE(CONTROL!$C$22, $C$13, 100%, $E$13)</f>
        <v>22.206499999999998</v>
      </c>
      <c r="J765" s="68">
        <f>14.4596 * CHOOSE(CONTROL!$C$22, $C$13, 100%, $E$13)</f>
        <v>14.4596</v>
      </c>
      <c r="K765" s="68">
        <f>14.4663 * CHOOSE(CONTROL!$C$22, $C$13, 100%, $E$13)</f>
        <v>14.4663</v>
      </c>
    </row>
    <row r="766" spans="1:11" ht="15">
      <c r="A766" s="13">
        <v>64437</v>
      </c>
      <c r="B766" s="67">
        <f>12.4345 * CHOOSE(CONTROL!$C$22, $C$13, 100%, $E$13)</f>
        <v>12.4345</v>
      </c>
      <c r="C766" s="67">
        <f>12.4345 * CHOOSE(CONTROL!$C$22, $C$13, 100%, $E$13)</f>
        <v>12.4345</v>
      </c>
      <c r="D766" s="67">
        <f>12.44 * CHOOSE(CONTROL!$C$22, $C$13, 100%, $E$13)</f>
        <v>12.44</v>
      </c>
      <c r="E766" s="68">
        <f>14.3844 * CHOOSE(CONTROL!$C$22, $C$13, 100%, $E$13)</f>
        <v>14.384399999999999</v>
      </c>
      <c r="F766" s="68">
        <f>14.3844 * CHOOSE(CONTROL!$C$22, $C$13, 100%, $E$13)</f>
        <v>14.384399999999999</v>
      </c>
      <c r="G766" s="68">
        <f>14.3912 * CHOOSE(CONTROL!$C$22, $C$13, 100%, $E$13)</f>
        <v>14.3912</v>
      </c>
      <c r="H766" s="68">
        <f>22.246* CHOOSE(CONTROL!$C$22, $C$13, 100%, $E$13)</f>
        <v>22.245999999999999</v>
      </c>
      <c r="I766" s="68">
        <f>22.2527 * CHOOSE(CONTROL!$C$22, $C$13, 100%, $E$13)</f>
        <v>22.252700000000001</v>
      </c>
      <c r="J766" s="68">
        <f>14.3844 * CHOOSE(CONTROL!$C$22, $C$13, 100%, $E$13)</f>
        <v>14.384399999999999</v>
      </c>
      <c r="K766" s="68">
        <f>14.3912 * CHOOSE(CONTROL!$C$22, $C$13, 100%, $E$13)</f>
        <v>14.3912</v>
      </c>
    </row>
    <row r="767" spans="1:11" ht="15">
      <c r="A767" s="13">
        <v>64467</v>
      </c>
      <c r="B767" s="67">
        <f>12.6242 * CHOOSE(CONTROL!$C$22, $C$13, 100%, $E$13)</f>
        <v>12.6242</v>
      </c>
      <c r="C767" s="67">
        <f>12.6242 * CHOOSE(CONTROL!$C$22, $C$13, 100%, $E$13)</f>
        <v>12.6242</v>
      </c>
      <c r="D767" s="67">
        <f>12.6297 * CHOOSE(CONTROL!$C$22, $C$13, 100%, $E$13)</f>
        <v>12.6297</v>
      </c>
      <c r="E767" s="68">
        <f>14.6145 * CHOOSE(CONTROL!$C$22, $C$13, 100%, $E$13)</f>
        <v>14.6145</v>
      </c>
      <c r="F767" s="68">
        <f>14.6145 * CHOOSE(CONTROL!$C$22, $C$13, 100%, $E$13)</f>
        <v>14.6145</v>
      </c>
      <c r="G767" s="68">
        <f>14.6212 * CHOOSE(CONTROL!$C$22, $C$13, 100%, $E$13)</f>
        <v>14.6212</v>
      </c>
      <c r="H767" s="68">
        <f>22.2923* CHOOSE(CONTROL!$C$22, $C$13, 100%, $E$13)</f>
        <v>22.292300000000001</v>
      </c>
      <c r="I767" s="68">
        <f>22.2991 * CHOOSE(CONTROL!$C$22, $C$13, 100%, $E$13)</f>
        <v>22.299099999999999</v>
      </c>
      <c r="J767" s="68">
        <f>14.6145 * CHOOSE(CONTROL!$C$22, $C$13, 100%, $E$13)</f>
        <v>14.6145</v>
      </c>
      <c r="K767" s="68">
        <f>14.6212 * CHOOSE(CONTROL!$C$22, $C$13, 100%, $E$13)</f>
        <v>14.6212</v>
      </c>
    </row>
    <row r="768" spans="1:11" ht="15">
      <c r="A768" s="13">
        <v>64498</v>
      </c>
      <c r="B768" s="67">
        <f>12.6309 * CHOOSE(CONTROL!$C$22, $C$13, 100%, $E$13)</f>
        <v>12.6309</v>
      </c>
      <c r="C768" s="67">
        <f>12.6309 * CHOOSE(CONTROL!$C$22, $C$13, 100%, $E$13)</f>
        <v>12.6309</v>
      </c>
      <c r="D768" s="67">
        <f>12.6364 * CHOOSE(CONTROL!$C$22, $C$13, 100%, $E$13)</f>
        <v>12.6364</v>
      </c>
      <c r="E768" s="68">
        <f>14.381 * CHOOSE(CONTROL!$C$22, $C$13, 100%, $E$13)</f>
        <v>14.381</v>
      </c>
      <c r="F768" s="68">
        <f>14.381 * CHOOSE(CONTROL!$C$22, $C$13, 100%, $E$13)</f>
        <v>14.381</v>
      </c>
      <c r="G768" s="68">
        <f>14.3877 * CHOOSE(CONTROL!$C$22, $C$13, 100%, $E$13)</f>
        <v>14.387700000000001</v>
      </c>
      <c r="H768" s="68">
        <f>22.3388* CHOOSE(CONTROL!$C$22, $C$13, 100%, $E$13)</f>
        <v>22.338799999999999</v>
      </c>
      <c r="I768" s="68">
        <f>22.3455 * CHOOSE(CONTROL!$C$22, $C$13, 100%, $E$13)</f>
        <v>22.345500000000001</v>
      </c>
      <c r="J768" s="68">
        <f>14.381 * CHOOSE(CONTROL!$C$22, $C$13, 100%, $E$13)</f>
        <v>14.381</v>
      </c>
      <c r="K768" s="68">
        <f>14.3877 * CHOOSE(CONTROL!$C$22, $C$13, 100%, $E$13)</f>
        <v>14.387700000000001</v>
      </c>
    </row>
    <row r="769" spans="1:11" ht="15">
      <c r="A769" s="13">
        <v>64529</v>
      </c>
      <c r="B769" s="67">
        <f>12.6278 * CHOOSE(CONTROL!$C$22, $C$13, 100%, $E$13)</f>
        <v>12.627800000000001</v>
      </c>
      <c r="C769" s="67">
        <f>12.6278 * CHOOSE(CONTROL!$C$22, $C$13, 100%, $E$13)</f>
        <v>12.627800000000001</v>
      </c>
      <c r="D769" s="67">
        <f>12.6333 * CHOOSE(CONTROL!$C$22, $C$13, 100%, $E$13)</f>
        <v>12.6333</v>
      </c>
      <c r="E769" s="68">
        <f>14.3524 * CHOOSE(CONTROL!$C$22, $C$13, 100%, $E$13)</f>
        <v>14.352399999999999</v>
      </c>
      <c r="F769" s="68">
        <f>14.3524 * CHOOSE(CONTROL!$C$22, $C$13, 100%, $E$13)</f>
        <v>14.352399999999999</v>
      </c>
      <c r="G769" s="68">
        <f>14.3591 * CHOOSE(CONTROL!$C$22, $C$13, 100%, $E$13)</f>
        <v>14.3591</v>
      </c>
      <c r="H769" s="68">
        <f>22.3853* CHOOSE(CONTROL!$C$22, $C$13, 100%, $E$13)</f>
        <v>22.385300000000001</v>
      </c>
      <c r="I769" s="68">
        <f>22.392 * CHOOSE(CONTROL!$C$22, $C$13, 100%, $E$13)</f>
        <v>22.391999999999999</v>
      </c>
      <c r="J769" s="68">
        <f>14.3524 * CHOOSE(CONTROL!$C$22, $C$13, 100%, $E$13)</f>
        <v>14.352399999999999</v>
      </c>
      <c r="K769" s="68">
        <f>14.3591 * CHOOSE(CONTROL!$C$22, $C$13, 100%, $E$13)</f>
        <v>14.3591</v>
      </c>
    </row>
    <row r="770" spans="1:11" ht="15">
      <c r="A770" s="13">
        <v>64559</v>
      </c>
      <c r="B770" s="67">
        <f>12.6507 * CHOOSE(CONTROL!$C$22, $C$13, 100%, $E$13)</f>
        <v>12.650700000000001</v>
      </c>
      <c r="C770" s="67">
        <f>12.6507 * CHOOSE(CONTROL!$C$22, $C$13, 100%, $E$13)</f>
        <v>12.650700000000001</v>
      </c>
      <c r="D770" s="67">
        <f>12.6546 * CHOOSE(CONTROL!$C$22, $C$13, 100%, $E$13)</f>
        <v>12.6546</v>
      </c>
      <c r="E770" s="68">
        <f>14.4448 * CHOOSE(CONTROL!$C$22, $C$13, 100%, $E$13)</f>
        <v>14.444800000000001</v>
      </c>
      <c r="F770" s="68">
        <f>14.4448 * CHOOSE(CONTROL!$C$22, $C$13, 100%, $E$13)</f>
        <v>14.444800000000001</v>
      </c>
      <c r="G770" s="68">
        <f>14.4496 * CHOOSE(CONTROL!$C$22, $C$13, 100%, $E$13)</f>
        <v>14.4496</v>
      </c>
      <c r="H770" s="68">
        <f>22.4319* CHOOSE(CONTROL!$C$22, $C$13, 100%, $E$13)</f>
        <v>22.431899999999999</v>
      </c>
      <c r="I770" s="68">
        <f>22.4367 * CHOOSE(CONTROL!$C$22, $C$13, 100%, $E$13)</f>
        <v>22.436699999999998</v>
      </c>
      <c r="J770" s="68">
        <f>14.4448 * CHOOSE(CONTROL!$C$22, $C$13, 100%, $E$13)</f>
        <v>14.444800000000001</v>
      </c>
      <c r="K770" s="68">
        <f>14.4496 * CHOOSE(CONTROL!$C$22, $C$13, 100%, $E$13)</f>
        <v>14.4496</v>
      </c>
    </row>
    <row r="771" spans="1:11" ht="15">
      <c r="A771" s="13">
        <v>64590</v>
      </c>
      <c r="B771" s="67">
        <f>12.6538 * CHOOSE(CONTROL!$C$22, $C$13, 100%, $E$13)</f>
        <v>12.6538</v>
      </c>
      <c r="C771" s="67">
        <f>12.6538 * CHOOSE(CONTROL!$C$22, $C$13, 100%, $E$13)</f>
        <v>12.6538</v>
      </c>
      <c r="D771" s="67">
        <f>12.6576 * CHOOSE(CONTROL!$C$22, $C$13, 100%, $E$13)</f>
        <v>12.6576</v>
      </c>
      <c r="E771" s="68">
        <f>14.4999 * CHOOSE(CONTROL!$C$22, $C$13, 100%, $E$13)</f>
        <v>14.4999</v>
      </c>
      <c r="F771" s="68">
        <f>14.4999 * CHOOSE(CONTROL!$C$22, $C$13, 100%, $E$13)</f>
        <v>14.4999</v>
      </c>
      <c r="G771" s="68">
        <f>14.5046 * CHOOSE(CONTROL!$C$22, $C$13, 100%, $E$13)</f>
        <v>14.5046</v>
      </c>
      <c r="H771" s="68">
        <f>22.4787* CHOOSE(CONTROL!$C$22, $C$13, 100%, $E$13)</f>
        <v>22.4787</v>
      </c>
      <c r="I771" s="68">
        <f>22.4834 * CHOOSE(CONTROL!$C$22, $C$13, 100%, $E$13)</f>
        <v>22.4834</v>
      </c>
      <c r="J771" s="68">
        <f>14.4999 * CHOOSE(CONTROL!$C$22, $C$13, 100%, $E$13)</f>
        <v>14.4999</v>
      </c>
      <c r="K771" s="68">
        <f>14.5046 * CHOOSE(CONTROL!$C$22, $C$13, 100%, $E$13)</f>
        <v>14.5046</v>
      </c>
    </row>
    <row r="772" spans="1:11" ht="15">
      <c r="A772" s="13">
        <v>64620</v>
      </c>
      <c r="B772" s="67">
        <f>12.6538 * CHOOSE(CONTROL!$C$22, $C$13, 100%, $E$13)</f>
        <v>12.6538</v>
      </c>
      <c r="C772" s="67">
        <f>12.6538 * CHOOSE(CONTROL!$C$22, $C$13, 100%, $E$13)</f>
        <v>12.6538</v>
      </c>
      <c r="D772" s="67">
        <f>12.6576 * CHOOSE(CONTROL!$C$22, $C$13, 100%, $E$13)</f>
        <v>12.6576</v>
      </c>
      <c r="E772" s="68">
        <f>14.3676 * CHOOSE(CONTROL!$C$22, $C$13, 100%, $E$13)</f>
        <v>14.367599999999999</v>
      </c>
      <c r="F772" s="68">
        <f>14.3676 * CHOOSE(CONTROL!$C$22, $C$13, 100%, $E$13)</f>
        <v>14.367599999999999</v>
      </c>
      <c r="G772" s="68">
        <f>14.3723 * CHOOSE(CONTROL!$C$22, $C$13, 100%, $E$13)</f>
        <v>14.372299999999999</v>
      </c>
      <c r="H772" s="68">
        <f>22.5255* CHOOSE(CONTROL!$C$22, $C$13, 100%, $E$13)</f>
        <v>22.525500000000001</v>
      </c>
      <c r="I772" s="68">
        <f>22.5303 * CHOOSE(CONTROL!$C$22, $C$13, 100%, $E$13)</f>
        <v>22.5303</v>
      </c>
      <c r="J772" s="68">
        <f>14.3676 * CHOOSE(CONTROL!$C$22, $C$13, 100%, $E$13)</f>
        <v>14.367599999999999</v>
      </c>
      <c r="K772" s="68">
        <f>14.3723 * CHOOSE(CONTROL!$C$22, $C$13, 100%, $E$13)</f>
        <v>14.372299999999999</v>
      </c>
    </row>
    <row r="773" spans="1:11" ht="15">
      <c r="A773" s="13">
        <v>64651</v>
      </c>
      <c r="B773" s="67">
        <f>12.6653 * CHOOSE(CONTROL!$C$22, $C$13, 100%, $E$13)</f>
        <v>12.6653</v>
      </c>
      <c r="C773" s="67">
        <f>12.6653 * CHOOSE(CONTROL!$C$22, $C$13, 100%, $E$13)</f>
        <v>12.6653</v>
      </c>
      <c r="D773" s="67">
        <f>12.6692 * CHOOSE(CONTROL!$C$22, $C$13, 100%, $E$13)</f>
        <v>12.6692</v>
      </c>
      <c r="E773" s="68">
        <f>14.4846 * CHOOSE(CONTROL!$C$22, $C$13, 100%, $E$13)</f>
        <v>14.4846</v>
      </c>
      <c r="F773" s="68">
        <f>14.4846 * CHOOSE(CONTROL!$C$22, $C$13, 100%, $E$13)</f>
        <v>14.4846</v>
      </c>
      <c r="G773" s="68">
        <f>14.4894 * CHOOSE(CONTROL!$C$22, $C$13, 100%, $E$13)</f>
        <v>14.4894</v>
      </c>
      <c r="H773" s="68">
        <f>22.4193* CHOOSE(CONTROL!$C$22, $C$13, 100%, $E$13)</f>
        <v>22.4193</v>
      </c>
      <c r="I773" s="68">
        <f>22.4241 * CHOOSE(CONTROL!$C$22, $C$13, 100%, $E$13)</f>
        <v>22.424099999999999</v>
      </c>
      <c r="J773" s="68">
        <f>14.4846 * CHOOSE(CONTROL!$C$22, $C$13, 100%, $E$13)</f>
        <v>14.4846</v>
      </c>
      <c r="K773" s="68">
        <f>14.4894 * CHOOSE(CONTROL!$C$22, $C$13, 100%, $E$13)</f>
        <v>14.4894</v>
      </c>
    </row>
    <row r="774" spans="1:11" ht="15">
      <c r="A774" s="13">
        <v>64682</v>
      </c>
      <c r="B774" s="67">
        <f>12.6623 * CHOOSE(CONTROL!$C$22, $C$13, 100%, $E$13)</f>
        <v>12.6623</v>
      </c>
      <c r="C774" s="67">
        <f>12.6623 * CHOOSE(CONTROL!$C$22, $C$13, 100%, $E$13)</f>
        <v>12.6623</v>
      </c>
      <c r="D774" s="67">
        <f>12.6661 * CHOOSE(CONTROL!$C$22, $C$13, 100%, $E$13)</f>
        <v>12.6661</v>
      </c>
      <c r="E774" s="68">
        <f>14.2275 * CHOOSE(CONTROL!$C$22, $C$13, 100%, $E$13)</f>
        <v>14.227499999999999</v>
      </c>
      <c r="F774" s="68">
        <f>14.2275 * CHOOSE(CONTROL!$C$22, $C$13, 100%, $E$13)</f>
        <v>14.227499999999999</v>
      </c>
      <c r="G774" s="68">
        <f>14.2323 * CHOOSE(CONTROL!$C$22, $C$13, 100%, $E$13)</f>
        <v>14.2323</v>
      </c>
      <c r="H774" s="68">
        <f>22.466* CHOOSE(CONTROL!$C$22, $C$13, 100%, $E$13)</f>
        <v>22.466000000000001</v>
      </c>
      <c r="I774" s="68">
        <f>22.4708 * CHOOSE(CONTROL!$C$22, $C$13, 100%, $E$13)</f>
        <v>22.470800000000001</v>
      </c>
      <c r="J774" s="68">
        <f>14.2275 * CHOOSE(CONTROL!$C$22, $C$13, 100%, $E$13)</f>
        <v>14.227499999999999</v>
      </c>
      <c r="K774" s="68">
        <f>14.2323 * CHOOSE(CONTROL!$C$22, $C$13, 100%, $E$13)</f>
        <v>14.2323</v>
      </c>
    </row>
    <row r="775" spans="1:11" ht="15">
      <c r="A775" s="13">
        <v>64710</v>
      </c>
      <c r="B775" s="67">
        <f>12.6592 * CHOOSE(CONTROL!$C$22, $C$13, 100%, $E$13)</f>
        <v>12.6592</v>
      </c>
      <c r="C775" s="67">
        <f>12.6592 * CHOOSE(CONTROL!$C$22, $C$13, 100%, $E$13)</f>
        <v>12.6592</v>
      </c>
      <c r="D775" s="67">
        <f>12.6631 * CHOOSE(CONTROL!$C$22, $C$13, 100%, $E$13)</f>
        <v>12.6631</v>
      </c>
      <c r="E775" s="68">
        <f>14.4264 * CHOOSE(CONTROL!$C$22, $C$13, 100%, $E$13)</f>
        <v>14.426399999999999</v>
      </c>
      <c r="F775" s="68">
        <f>14.4264 * CHOOSE(CONTROL!$C$22, $C$13, 100%, $E$13)</f>
        <v>14.426399999999999</v>
      </c>
      <c r="G775" s="68">
        <f>14.4312 * CHOOSE(CONTROL!$C$22, $C$13, 100%, $E$13)</f>
        <v>14.4312</v>
      </c>
      <c r="H775" s="68">
        <f>22.5128* CHOOSE(CONTROL!$C$22, $C$13, 100%, $E$13)</f>
        <v>22.512799999999999</v>
      </c>
      <c r="I775" s="68">
        <f>22.5176 * CHOOSE(CONTROL!$C$22, $C$13, 100%, $E$13)</f>
        <v>22.517600000000002</v>
      </c>
      <c r="J775" s="68">
        <f>14.4264 * CHOOSE(CONTROL!$C$22, $C$13, 100%, $E$13)</f>
        <v>14.426399999999999</v>
      </c>
      <c r="K775" s="68">
        <f>14.4312 * CHOOSE(CONTROL!$C$22, $C$13, 100%, $E$13)</f>
        <v>14.4312</v>
      </c>
    </row>
    <row r="776" spans="1:11" ht="15">
      <c r="A776" s="13">
        <v>64741</v>
      </c>
      <c r="B776" s="67">
        <f>12.6642 * CHOOSE(CONTROL!$C$22, $C$13, 100%, $E$13)</f>
        <v>12.664199999999999</v>
      </c>
      <c r="C776" s="67">
        <f>12.6642 * CHOOSE(CONTROL!$C$22, $C$13, 100%, $E$13)</f>
        <v>12.664199999999999</v>
      </c>
      <c r="D776" s="67">
        <f>12.668 * CHOOSE(CONTROL!$C$22, $C$13, 100%, $E$13)</f>
        <v>12.667999999999999</v>
      </c>
      <c r="E776" s="68">
        <f>14.638 * CHOOSE(CONTROL!$C$22, $C$13, 100%, $E$13)</f>
        <v>14.638</v>
      </c>
      <c r="F776" s="68">
        <f>14.638 * CHOOSE(CONTROL!$C$22, $C$13, 100%, $E$13)</f>
        <v>14.638</v>
      </c>
      <c r="G776" s="68">
        <f>14.6428 * CHOOSE(CONTROL!$C$22, $C$13, 100%, $E$13)</f>
        <v>14.642799999999999</v>
      </c>
      <c r="H776" s="68">
        <f>22.5597* CHOOSE(CONTROL!$C$22, $C$13, 100%, $E$13)</f>
        <v>22.559699999999999</v>
      </c>
      <c r="I776" s="68">
        <f>22.5645 * CHOOSE(CONTROL!$C$22, $C$13, 100%, $E$13)</f>
        <v>22.564499999999999</v>
      </c>
      <c r="J776" s="68">
        <f>14.638 * CHOOSE(CONTROL!$C$22, $C$13, 100%, $E$13)</f>
        <v>14.638</v>
      </c>
      <c r="K776" s="68">
        <f>14.6428 * CHOOSE(CONTROL!$C$22, $C$13, 100%, $E$13)</f>
        <v>14.642799999999999</v>
      </c>
    </row>
    <row r="777" spans="1:11" ht="15">
      <c r="A777" s="13">
        <v>64771</v>
      </c>
      <c r="B777" s="67">
        <f>12.6642 * CHOOSE(CONTROL!$C$22, $C$13, 100%, $E$13)</f>
        <v>12.664199999999999</v>
      </c>
      <c r="C777" s="67">
        <f>12.6642 * CHOOSE(CONTROL!$C$22, $C$13, 100%, $E$13)</f>
        <v>12.664199999999999</v>
      </c>
      <c r="D777" s="67">
        <f>12.6697 * CHOOSE(CONTROL!$C$22, $C$13, 100%, $E$13)</f>
        <v>12.669700000000001</v>
      </c>
      <c r="E777" s="68">
        <f>14.719 * CHOOSE(CONTROL!$C$22, $C$13, 100%, $E$13)</f>
        <v>14.718999999999999</v>
      </c>
      <c r="F777" s="68">
        <f>14.719 * CHOOSE(CONTROL!$C$22, $C$13, 100%, $E$13)</f>
        <v>14.718999999999999</v>
      </c>
      <c r="G777" s="68">
        <f>14.7257 * CHOOSE(CONTROL!$C$22, $C$13, 100%, $E$13)</f>
        <v>14.7257</v>
      </c>
      <c r="H777" s="68">
        <f>22.6067* CHOOSE(CONTROL!$C$22, $C$13, 100%, $E$13)</f>
        <v>22.6067</v>
      </c>
      <c r="I777" s="68">
        <f>22.6135 * CHOOSE(CONTROL!$C$22, $C$13, 100%, $E$13)</f>
        <v>22.613499999999998</v>
      </c>
      <c r="J777" s="68">
        <f>14.719 * CHOOSE(CONTROL!$C$22, $C$13, 100%, $E$13)</f>
        <v>14.718999999999999</v>
      </c>
      <c r="K777" s="68">
        <f>14.7257 * CHOOSE(CONTROL!$C$22, $C$13, 100%, $E$13)</f>
        <v>14.7257</v>
      </c>
    </row>
    <row r="778" spans="1:11" ht="15">
      <c r="A778" s="13">
        <v>64802</v>
      </c>
      <c r="B778" s="67">
        <f>12.6702 * CHOOSE(CONTROL!$C$22, $C$13, 100%, $E$13)</f>
        <v>12.670199999999999</v>
      </c>
      <c r="C778" s="67">
        <f>12.6702 * CHOOSE(CONTROL!$C$22, $C$13, 100%, $E$13)</f>
        <v>12.670199999999999</v>
      </c>
      <c r="D778" s="67">
        <f>12.6757 * CHOOSE(CONTROL!$C$22, $C$13, 100%, $E$13)</f>
        <v>12.675700000000001</v>
      </c>
      <c r="E778" s="68">
        <f>14.6423 * CHOOSE(CONTROL!$C$22, $C$13, 100%, $E$13)</f>
        <v>14.642300000000001</v>
      </c>
      <c r="F778" s="68">
        <f>14.6423 * CHOOSE(CONTROL!$C$22, $C$13, 100%, $E$13)</f>
        <v>14.642300000000001</v>
      </c>
      <c r="G778" s="68">
        <f>14.649 * CHOOSE(CONTROL!$C$22, $C$13, 100%, $E$13)</f>
        <v>14.648999999999999</v>
      </c>
      <c r="H778" s="68">
        <f>22.6538* CHOOSE(CONTROL!$C$22, $C$13, 100%, $E$13)</f>
        <v>22.6538</v>
      </c>
      <c r="I778" s="68">
        <f>22.6606 * CHOOSE(CONTROL!$C$22, $C$13, 100%, $E$13)</f>
        <v>22.660599999999999</v>
      </c>
      <c r="J778" s="68">
        <f>14.6423 * CHOOSE(CONTROL!$C$22, $C$13, 100%, $E$13)</f>
        <v>14.642300000000001</v>
      </c>
      <c r="K778" s="68">
        <f>14.649 * CHOOSE(CONTROL!$C$22, $C$13, 100%, $E$13)</f>
        <v>14.648999999999999</v>
      </c>
    </row>
    <row r="779" spans="1:11" ht="15">
      <c r="A779" s="13">
        <v>64832</v>
      </c>
      <c r="B779" s="67">
        <f>12.8633 * CHOOSE(CONTROL!$C$22, $C$13, 100%, $E$13)</f>
        <v>12.863300000000001</v>
      </c>
      <c r="C779" s="67">
        <f>12.8633 * CHOOSE(CONTROL!$C$22, $C$13, 100%, $E$13)</f>
        <v>12.863300000000001</v>
      </c>
      <c r="D779" s="67">
        <f>12.8689 * CHOOSE(CONTROL!$C$22, $C$13, 100%, $E$13)</f>
        <v>12.8689</v>
      </c>
      <c r="E779" s="68">
        <f>14.8762 * CHOOSE(CONTROL!$C$22, $C$13, 100%, $E$13)</f>
        <v>14.876200000000001</v>
      </c>
      <c r="F779" s="68">
        <f>14.8762 * CHOOSE(CONTROL!$C$22, $C$13, 100%, $E$13)</f>
        <v>14.876200000000001</v>
      </c>
      <c r="G779" s="68">
        <f>14.883 * CHOOSE(CONTROL!$C$22, $C$13, 100%, $E$13)</f>
        <v>14.882999999999999</v>
      </c>
      <c r="H779" s="68">
        <f>22.701* CHOOSE(CONTROL!$C$22, $C$13, 100%, $E$13)</f>
        <v>22.701000000000001</v>
      </c>
      <c r="I779" s="68">
        <f>22.7078 * CHOOSE(CONTROL!$C$22, $C$13, 100%, $E$13)</f>
        <v>22.707799999999999</v>
      </c>
      <c r="J779" s="68">
        <f>14.8762 * CHOOSE(CONTROL!$C$22, $C$13, 100%, $E$13)</f>
        <v>14.876200000000001</v>
      </c>
      <c r="K779" s="68">
        <f>14.883 * CHOOSE(CONTROL!$C$22, $C$13, 100%, $E$13)</f>
        <v>14.882999999999999</v>
      </c>
    </row>
    <row r="780" spans="1:11" ht="15">
      <c r="A780" s="13">
        <v>64863</v>
      </c>
      <c r="B780" s="67">
        <f>12.87 * CHOOSE(CONTROL!$C$22, $C$13, 100%, $E$13)</f>
        <v>12.87</v>
      </c>
      <c r="C780" s="67">
        <f>12.87 * CHOOSE(CONTROL!$C$22, $C$13, 100%, $E$13)</f>
        <v>12.87</v>
      </c>
      <c r="D780" s="67">
        <f>12.8755 * CHOOSE(CONTROL!$C$22, $C$13, 100%, $E$13)</f>
        <v>12.875500000000001</v>
      </c>
      <c r="E780" s="68">
        <f>14.6381 * CHOOSE(CONTROL!$C$22, $C$13, 100%, $E$13)</f>
        <v>14.6381</v>
      </c>
      <c r="F780" s="68">
        <f>14.6381 * CHOOSE(CONTROL!$C$22, $C$13, 100%, $E$13)</f>
        <v>14.6381</v>
      </c>
      <c r="G780" s="68">
        <f>14.6448 * CHOOSE(CONTROL!$C$22, $C$13, 100%, $E$13)</f>
        <v>14.6448</v>
      </c>
      <c r="H780" s="68">
        <f>22.7483* CHOOSE(CONTROL!$C$22, $C$13, 100%, $E$13)</f>
        <v>22.7483</v>
      </c>
      <c r="I780" s="68">
        <f>22.7551 * CHOOSE(CONTROL!$C$22, $C$13, 100%, $E$13)</f>
        <v>22.755099999999999</v>
      </c>
      <c r="J780" s="68">
        <f>14.6381 * CHOOSE(CONTROL!$C$22, $C$13, 100%, $E$13)</f>
        <v>14.6381</v>
      </c>
      <c r="K780" s="68">
        <f>14.6448 * CHOOSE(CONTROL!$C$22, $C$13, 100%, $E$13)</f>
        <v>14.6448</v>
      </c>
    </row>
    <row r="781" spans="1:11" ht="15">
      <c r="A781" s="13">
        <v>64894</v>
      </c>
      <c r="B781" s="67">
        <f>12.867 * CHOOSE(CONTROL!$C$22, $C$13, 100%, $E$13)</f>
        <v>12.867000000000001</v>
      </c>
      <c r="C781" s="67">
        <f>12.867 * CHOOSE(CONTROL!$C$22, $C$13, 100%, $E$13)</f>
        <v>12.867000000000001</v>
      </c>
      <c r="D781" s="67">
        <f>12.8725 * CHOOSE(CONTROL!$C$22, $C$13, 100%, $E$13)</f>
        <v>12.8725</v>
      </c>
      <c r="E781" s="68">
        <f>14.609 * CHOOSE(CONTROL!$C$22, $C$13, 100%, $E$13)</f>
        <v>14.609</v>
      </c>
      <c r="F781" s="68">
        <f>14.609 * CHOOSE(CONTROL!$C$22, $C$13, 100%, $E$13)</f>
        <v>14.609</v>
      </c>
      <c r="G781" s="68">
        <f>14.6157 * CHOOSE(CONTROL!$C$22, $C$13, 100%, $E$13)</f>
        <v>14.6157</v>
      </c>
      <c r="H781" s="68">
        <f>22.7957* CHOOSE(CONTROL!$C$22, $C$13, 100%, $E$13)</f>
        <v>22.7957</v>
      </c>
      <c r="I781" s="68">
        <f>22.8025 * CHOOSE(CONTROL!$C$22, $C$13, 100%, $E$13)</f>
        <v>22.802499999999998</v>
      </c>
      <c r="J781" s="68">
        <f>14.609 * CHOOSE(CONTROL!$C$22, $C$13, 100%, $E$13)</f>
        <v>14.609</v>
      </c>
      <c r="K781" s="68">
        <f>14.6157 * CHOOSE(CONTROL!$C$22, $C$13, 100%, $E$13)</f>
        <v>14.6157</v>
      </c>
    </row>
    <row r="782" spans="1:11" ht="15">
      <c r="A782" s="13">
        <v>64924</v>
      </c>
      <c r="B782" s="67">
        <f>12.8907 * CHOOSE(CONTROL!$C$22, $C$13, 100%, $E$13)</f>
        <v>12.890700000000001</v>
      </c>
      <c r="C782" s="67">
        <f>12.8907 * CHOOSE(CONTROL!$C$22, $C$13, 100%, $E$13)</f>
        <v>12.890700000000001</v>
      </c>
      <c r="D782" s="67">
        <f>12.8945 * CHOOSE(CONTROL!$C$22, $C$13, 100%, $E$13)</f>
        <v>12.894500000000001</v>
      </c>
      <c r="E782" s="68">
        <f>14.7035 * CHOOSE(CONTROL!$C$22, $C$13, 100%, $E$13)</f>
        <v>14.7035</v>
      </c>
      <c r="F782" s="68">
        <f>14.7035 * CHOOSE(CONTROL!$C$22, $C$13, 100%, $E$13)</f>
        <v>14.7035</v>
      </c>
      <c r="G782" s="68">
        <f>14.7082 * CHOOSE(CONTROL!$C$22, $C$13, 100%, $E$13)</f>
        <v>14.7082</v>
      </c>
      <c r="H782" s="68">
        <f>22.8432* CHOOSE(CONTROL!$C$22, $C$13, 100%, $E$13)</f>
        <v>22.8432</v>
      </c>
      <c r="I782" s="68">
        <f>22.848 * CHOOSE(CONTROL!$C$22, $C$13, 100%, $E$13)</f>
        <v>22.847999999999999</v>
      </c>
      <c r="J782" s="68">
        <f>14.7035 * CHOOSE(CONTROL!$C$22, $C$13, 100%, $E$13)</f>
        <v>14.7035</v>
      </c>
      <c r="K782" s="68">
        <f>14.7082 * CHOOSE(CONTROL!$C$22, $C$13, 100%, $E$13)</f>
        <v>14.7082</v>
      </c>
    </row>
    <row r="783" spans="1:11" ht="15">
      <c r="A783" s="13">
        <v>64955</v>
      </c>
      <c r="B783" s="67">
        <f>12.8937 * CHOOSE(CONTROL!$C$22, $C$13, 100%, $E$13)</f>
        <v>12.893700000000001</v>
      </c>
      <c r="C783" s="67">
        <f>12.8937 * CHOOSE(CONTROL!$C$22, $C$13, 100%, $E$13)</f>
        <v>12.893700000000001</v>
      </c>
      <c r="D783" s="67">
        <f>12.8976 * CHOOSE(CONTROL!$C$22, $C$13, 100%, $E$13)</f>
        <v>12.897600000000001</v>
      </c>
      <c r="E783" s="68">
        <f>14.7596 * CHOOSE(CONTROL!$C$22, $C$13, 100%, $E$13)</f>
        <v>14.759600000000001</v>
      </c>
      <c r="F783" s="68">
        <f>14.7596 * CHOOSE(CONTROL!$C$22, $C$13, 100%, $E$13)</f>
        <v>14.759600000000001</v>
      </c>
      <c r="G783" s="68">
        <f>14.7643 * CHOOSE(CONTROL!$C$22, $C$13, 100%, $E$13)</f>
        <v>14.7643</v>
      </c>
      <c r="H783" s="68">
        <f>22.8908* CHOOSE(CONTROL!$C$22, $C$13, 100%, $E$13)</f>
        <v>22.890799999999999</v>
      </c>
      <c r="I783" s="68">
        <f>22.8956 * CHOOSE(CONTROL!$C$22, $C$13, 100%, $E$13)</f>
        <v>22.895600000000002</v>
      </c>
      <c r="J783" s="68">
        <f>14.7596 * CHOOSE(CONTROL!$C$22, $C$13, 100%, $E$13)</f>
        <v>14.759600000000001</v>
      </c>
      <c r="K783" s="68">
        <f>14.7643 * CHOOSE(CONTROL!$C$22, $C$13, 100%, $E$13)</f>
        <v>14.7643</v>
      </c>
    </row>
    <row r="784" spans="1:11" ht="15">
      <c r="A784" s="13">
        <v>64985</v>
      </c>
      <c r="B784" s="67">
        <f>12.8937 * CHOOSE(CONTROL!$C$22, $C$13, 100%, $E$13)</f>
        <v>12.893700000000001</v>
      </c>
      <c r="C784" s="67">
        <f>12.8937 * CHOOSE(CONTROL!$C$22, $C$13, 100%, $E$13)</f>
        <v>12.893700000000001</v>
      </c>
      <c r="D784" s="67">
        <f>12.8976 * CHOOSE(CONTROL!$C$22, $C$13, 100%, $E$13)</f>
        <v>12.897600000000001</v>
      </c>
      <c r="E784" s="68">
        <f>14.6246 * CHOOSE(CONTROL!$C$22, $C$13, 100%, $E$13)</f>
        <v>14.624599999999999</v>
      </c>
      <c r="F784" s="68">
        <f>14.6246 * CHOOSE(CONTROL!$C$22, $C$13, 100%, $E$13)</f>
        <v>14.624599999999999</v>
      </c>
      <c r="G784" s="68">
        <f>14.6294 * CHOOSE(CONTROL!$C$22, $C$13, 100%, $E$13)</f>
        <v>14.6294</v>
      </c>
      <c r="H784" s="68">
        <f>22.9385* CHOOSE(CONTROL!$C$22, $C$13, 100%, $E$13)</f>
        <v>22.938500000000001</v>
      </c>
      <c r="I784" s="68">
        <f>22.9433 * CHOOSE(CONTROL!$C$22, $C$13, 100%, $E$13)</f>
        <v>22.943300000000001</v>
      </c>
      <c r="J784" s="68">
        <f>14.6246 * CHOOSE(CONTROL!$C$22, $C$13, 100%, $E$13)</f>
        <v>14.624599999999999</v>
      </c>
      <c r="K784" s="68">
        <f>14.6294 * CHOOSE(CONTROL!$C$22, $C$13, 100%, $E$13)</f>
        <v>14.6294</v>
      </c>
    </row>
    <row r="785" spans="1:11" ht="15">
      <c r="A785" s="13">
        <v>65016</v>
      </c>
      <c r="B785" s="67">
        <f>12.9009 * CHOOSE(CONTROL!$C$22, $C$13, 100%, $E$13)</f>
        <v>12.9009</v>
      </c>
      <c r="C785" s="67">
        <f>12.9009 * CHOOSE(CONTROL!$C$22, $C$13, 100%, $E$13)</f>
        <v>12.9009</v>
      </c>
      <c r="D785" s="67">
        <f>12.9048 * CHOOSE(CONTROL!$C$22, $C$13, 100%, $E$13)</f>
        <v>12.9048</v>
      </c>
      <c r="E785" s="68">
        <f>14.7393 * CHOOSE(CONTROL!$C$22, $C$13, 100%, $E$13)</f>
        <v>14.7393</v>
      </c>
      <c r="F785" s="68">
        <f>14.7393 * CHOOSE(CONTROL!$C$22, $C$13, 100%, $E$13)</f>
        <v>14.7393</v>
      </c>
      <c r="G785" s="68">
        <f>14.7441 * CHOOSE(CONTROL!$C$22, $C$13, 100%, $E$13)</f>
        <v>14.7441</v>
      </c>
      <c r="H785" s="68">
        <f>22.823* CHOOSE(CONTROL!$C$22, $C$13, 100%, $E$13)</f>
        <v>22.823</v>
      </c>
      <c r="I785" s="68">
        <f>22.8277 * CHOOSE(CONTROL!$C$22, $C$13, 100%, $E$13)</f>
        <v>22.8277</v>
      </c>
      <c r="J785" s="68">
        <f>14.7393 * CHOOSE(CONTROL!$C$22, $C$13, 100%, $E$13)</f>
        <v>14.7393</v>
      </c>
      <c r="K785" s="68">
        <f>14.7441 * CHOOSE(CONTROL!$C$22, $C$13, 100%, $E$13)</f>
        <v>14.7441</v>
      </c>
    </row>
    <row r="786" spans="1:11" ht="15">
      <c r="A786" s="13">
        <v>65047</v>
      </c>
      <c r="B786" s="67">
        <f>12.8978 * CHOOSE(CONTROL!$C$22, $C$13, 100%, $E$13)</f>
        <v>12.8978</v>
      </c>
      <c r="C786" s="67">
        <f>12.8978 * CHOOSE(CONTROL!$C$22, $C$13, 100%, $E$13)</f>
        <v>12.8978</v>
      </c>
      <c r="D786" s="67">
        <f>12.9017 * CHOOSE(CONTROL!$C$22, $C$13, 100%, $E$13)</f>
        <v>12.9017</v>
      </c>
      <c r="E786" s="68">
        <f>14.4773 * CHOOSE(CONTROL!$C$22, $C$13, 100%, $E$13)</f>
        <v>14.4773</v>
      </c>
      <c r="F786" s="68">
        <f>14.4773 * CHOOSE(CONTROL!$C$22, $C$13, 100%, $E$13)</f>
        <v>14.4773</v>
      </c>
      <c r="G786" s="68">
        <f>14.4821 * CHOOSE(CONTROL!$C$22, $C$13, 100%, $E$13)</f>
        <v>14.482100000000001</v>
      </c>
      <c r="H786" s="68">
        <f>22.8705* CHOOSE(CONTROL!$C$22, $C$13, 100%, $E$13)</f>
        <v>22.8705</v>
      </c>
      <c r="I786" s="68">
        <f>22.8753 * CHOOSE(CONTROL!$C$22, $C$13, 100%, $E$13)</f>
        <v>22.875299999999999</v>
      </c>
      <c r="J786" s="68">
        <f>14.4773 * CHOOSE(CONTROL!$C$22, $C$13, 100%, $E$13)</f>
        <v>14.4773</v>
      </c>
      <c r="K786" s="68">
        <f>14.4821 * CHOOSE(CONTROL!$C$22, $C$13, 100%, $E$13)</f>
        <v>14.482100000000001</v>
      </c>
    </row>
    <row r="787" spans="1:11" ht="15">
      <c r="A787" s="13">
        <v>65075</v>
      </c>
      <c r="B787" s="67">
        <f>12.8948 * CHOOSE(CONTROL!$C$22, $C$13, 100%, $E$13)</f>
        <v>12.8948</v>
      </c>
      <c r="C787" s="67">
        <f>12.8948 * CHOOSE(CONTROL!$C$22, $C$13, 100%, $E$13)</f>
        <v>12.8948</v>
      </c>
      <c r="D787" s="67">
        <f>12.8987 * CHOOSE(CONTROL!$C$22, $C$13, 100%, $E$13)</f>
        <v>12.8987</v>
      </c>
      <c r="E787" s="68">
        <f>14.6801 * CHOOSE(CONTROL!$C$22, $C$13, 100%, $E$13)</f>
        <v>14.680099999999999</v>
      </c>
      <c r="F787" s="68">
        <f>14.6801 * CHOOSE(CONTROL!$C$22, $C$13, 100%, $E$13)</f>
        <v>14.680099999999999</v>
      </c>
      <c r="G787" s="68">
        <f>14.6849 * CHOOSE(CONTROL!$C$22, $C$13, 100%, $E$13)</f>
        <v>14.684900000000001</v>
      </c>
      <c r="H787" s="68">
        <f>22.9182* CHOOSE(CONTROL!$C$22, $C$13, 100%, $E$13)</f>
        <v>22.918199999999999</v>
      </c>
      <c r="I787" s="68">
        <f>22.9229 * CHOOSE(CONTROL!$C$22, $C$13, 100%, $E$13)</f>
        <v>22.922899999999998</v>
      </c>
      <c r="J787" s="68">
        <f>14.6801 * CHOOSE(CONTROL!$C$22, $C$13, 100%, $E$13)</f>
        <v>14.680099999999999</v>
      </c>
      <c r="K787" s="68">
        <f>14.6849 * CHOOSE(CONTROL!$C$22, $C$13, 100%, $E$13)</f>
        <v>14.684900000000001</v>
      </c>
    </row>
    <row r="788" spans="1:11" ht="15">
      <c r="A788" s="13">
        <v>65106</v>
      </c>
      <c r="B788" s="67">
        <f>12.8999 * CHOOSE(CONTROL!$C$22, $C$13, 100%, $E$13)</f>
        <v>12.899900000000001</v>
      </c>
      <c r="C788" s="67">
        <f>12.8999 * CHOOSE(CONTROL!$C$22, $C$13, 100%, $E$13)</f>
        <v>12.899900000000001</v>
      </c>
      <c r="D788" s="67">
        <f>12.9038 * CHOOSE(CONTROL!$C$22, $C$13, 100%, $E$13)</f>
        <v>12.9038</v>
      </c>
      <c r="E788" s="68">
        <f>14.8959 * CHOOSE(CONTROL!$C$22, $C$13, 100%, $E$13)</f>
        <v>14.895899999999999</v>
      </c>
      <c r="F788" s="68">
        <f>14.8959 * CHOOSE(CONTROL!$C$22, $C$13, 100%, $E$13)</f>
        <v>14.895899999999999</v>
      </c>
      <c r="G788" s="68">
        <f>14.9007 * CHOOSE(CONTROL!$C$22, $C$13, 100%, $E$13)</f>
        <v>14.900700000000001</v>
      </c>
      <c r="H788" s="68">
        <f>22.9659* CHOOSE(CONTROL!$C$22, $C$13, 100%, $E$13)</f>
        <v>22.965900000000001</v>
      </c>
      <c r="I788" s="68">
        <f>22.9707 * CHOOSE(CONTROL!$C$22, $C$13, 100%, $E$13)</f>
        <v>22.970700000000001</v>
      </c>
      <c r="J788" s="68">
        <f>14.8959 * CHOOSE(CONTROL!$C$22, $C$13, 100%, $E$13)</f>
        <v>14.895899999999999</v>
      </c>
      <c r="K788" s="68">
        <f>14.9007 * CHOOSE(CONTROL!$C$22, $C$13, 100%, $E$13)</f>
        <v>14.900700000000001</v>
      </c>
    </row>
    <row r="789" spans="1:11" ht="15">
      <c r="A789" s="13">
        <v>65136</v>
      </c>
      <c r="B789" s="67">
        <f>12.8999 * CHOOSE(CONTROL!$C$22, $C$13, 100%, $E$13)</f>
        <v>12.899900000000001</v>
      </c>
      <c r="C789" s="67">
        <f>12.8999 * CHOOSE(CONTROL!$C$22, $C$13, 100%, $E$13)</f>
        <v>12.899900000000001</v>
      </c>
      <c r="D789" s="67">
        <f>12.9054 * CHOOSE(CONTROL!$C$22, $C$13, 100%, $E$13)</f>
        <v>12.9054</v>
      </c>
      <c r="E789" s="68">
        <f>14.9784 * CHOOSE(CONTROL!$C$22, $C$13, 100%, $E$13)</f>
        <v>14.978400000000001</v>
      </c>
      <c r="F789" s="68">
        <f>14.9784 * CHOOSE(CONTROL!$C$22, $C$13, 100%, $E$13)</f>
        <v>14.978400000000001</v>
      </c>
      <c r="G789" s="68">
        <f>14.9852 * CHOOSE(CONTROL!$C$22, $C$13, 100%, $E$13)</f>
        <v>14.985200000000001</v>
      </c>
      <c r="H789" s="68">
        <f>23.0137* CHOOSE(CONTROL!$C$22, $C$13, 100%, $E$13)</f>
        <v>23.0137</v>
      </c>
      <c r="I789" s="68">
        <f>23.0205 * CHOOSE(CONTROL!$C$22, $C$13, 100%, $E$13)</f>
        <v>23.020499999999998</v>
      </c>
      <c r="J789" s="68">
        <f>14.9784 * CHOOSE(CONTROL!$C$22, $C$13, 100%, $E$13)</f>
        <v>14.978400000000001</v>
      </c>
      <c r="K789" s="68">
        <f>14.9852 * CHOOSE(CONTROL!$C$22, $C$13, 100%, $E$13)</f>
        <v>14.985200000000001</v>
      </c>
    </row>
    <row r="790" spans="1:11" ht="15">
      <c r="A790" s="13">
        <v>65167</v>
      </c>
      <c r="B790" s="67">
        <f>12.906 * CHOOSE(CONTROL!$C$22, $C$13, 100%, $E$13)</f>
        <v>12.906000000000001</v>
      </c>
      <c r="C790" s="67">
        <f>12.906 * CHOOSE(CONTROL!$C$22, $C$13, 100%, $E$13)</f>
        <v>12.906000000000001</v>
      </c>
      <c r="D790" s="67">
        <f>12.9115 * CHOOSE(CONTROL!$C$22, $C$13, 100%, $E$13)</f>
        <v>12.9115</v>
      </c>
      <c r="E790" s="68">
        <f>14.9001 * CHOOSE(CONTROL!$C$22, $C$13, 100%, $E$13)</f>
        <v>14.9001</v>
      </c>
      <c r="F790" s="68">
        <f>14.9001 * CHOOSE(CONTROL!$C$22, $C$13, 100%, $E$13)</f>
        <v>14.9001</v>
      </c>
      <c r="G790" s="68">
        <f>14.9069 * CHOOSE(CONTROL!$C$22, $C$13, 100%, $E$13)</f>
        <v>14.9069</v>
      </c>
      <c r="H790" s="68">
        <f>23.0617* CHOOSE(CONTROL!$C$22, $C$13, 100%, $E$13)</f>
        <v>23.061699999999998</v>
      </c>
      <c r="I790" s="68">
        <f>23.0684 * CHOOSE(CONTROL!$C$22, $C$13, 100%, $E$13)</f>
        <v>23.0684</v>
      </c>
      <c r="J790" s="68">
        <f>14.9001 * CHOOSE(CONTROL!$C$22, $C$13, 100%, $E$13)</f>
        <v>14.9001</v>
      </c>
      <c r="K790" s="68">
        <f>14.9069 * CHOOSE(CONTROL!$C$22, $C$13, 100%, $E$13)</f>
        <v>14.9069</v>
      </c>
    </row>
    <row r="791" spans="1:11" ht="15">
      <c r="A791" s="13">
        <v>65197</v>
      </c>
      <c r="B791" s="67">
        <f>13.1025 * CHOOSE(CONTROL!$C$22, $C$13, 100%, $E$13)</f>
        <v>13.102499999999999</v>
      </c>
      <c r="C791" s="67">
        <f>13.1025 * CHOOSE(CONTROL!$C$22, $C$13, 100%, $E$13)</f>
        <v>13.102499999999999</v>
      </c>
      <c r="D791" s="67">
        <f>13.108 * CHOOSE(CONTROL!$C$22, $C$13, 100%, $E$13)</f>
        <v>13.108000000000001</v>
      </c>
      <c r="E791" s="68">
        <f>15.138 * CHOOSE(CONTROL!$C$22, $C$13, 100%, $E$13)</f>
        <v>15.138</v>
      </c>
      <c r="F791" s="68">
        <f>15.138 * CHOOSE(CONTROL!$C$22, $C$13, 100%, $E$13)</f>
        <v>15.138</v>
      </c>
      <c r="G791" s="68">
        <f>15.1448 * CHOOSE(CONTROL!$C$22, $C$13, 100%, $E$13)</f>
        <v>15.1448</v>
      </c>
      <c r="H791" s="68">
        <f>23.1097* CHOOSE(CONTROL!$C$22, $C$13, 100%, $E$13)</f>
        <v>23.1097</v>
      </c>
      <c r="I791" s="68">
        <f>23.1165 * CHOOSE(CONTROL!$C$22, $C$13, 100%, $E$13)</f>
        <v>23.116499999999998</v>
      </c>
      <c r="J791" s="68">
        <f>15.138 * CHOOSE(CONTROL!$C$22, $C$13, 100%, $E$13)</f>
        <v>15.138</v>
      </c>
      <c r="K791" s="68">
        <f>15.1448 * CHOOSE(CONTROL!$C$22, $C$13, 100%, $E$13)</f>
        <v>15.1448</v>
      </c>
    </row>
    <row r="792" spans="1:11" ht="15">
      <c r="A792" s="13">
        <v>65228</v>
      </c>
      <c r="B792" s="67">
        <f>13.1092 * CHOOSE(CONTROL!$C$22, $C$13, 100%, $E$13)</f>
        <v>13.1092</v>
      </c>
      <c r="C792" s="67">
        <f>13.1092 * CHOOSE(CONTROL!$C$22, $C$13, 100%, $E$13)</f>
        <v>13.1092</v>
      </c>
      <c r="D792" s="67">
        <f>13.1147 * CHOOSE(CONTROL!$C$22, $C$13, 100%, $E$13)</f>
        <v>13.114699999999999</v>
      </c>
      <c r="E792" s="68">
        <f>14.8951 * CHOOSE(CONTROL!$C$22, $C$13, 100%, $E$13)</f>
        <v>14.895099999999999</v>
      </c>
      <c r="F792" s="68">
        <f>14.8951 * CHOOSE(CONTROL!$C$22, $C$13, 100%, $E$13)</f>
        <v>14.895099999999999</v>
      </c>
      <c r="G792" s="68">
        <f>14.9019 * CHOOSE(CONTROL!$C$22, $C$13, 100%, $E$13)</f>
        <v>14.901899999999999</v>
      </c>
      <c r="H792" s="68">
        <f>23.1579* CHOOSE(CONTROL!$C$22, $C$13, 100%, $E$13)</f>
        <v>23.157900000000001</v>
      </c>
      <c r="I792" s="68">
        <f>23.1646 * CHOOSE(CONTROL!$C$22, $C$13, 100%, $E$13)</f>
        <v>23.1646</v>
      </c>
      <c r="J792" s="68">
        <f>14.8951 * CHOOSE(CONTROL!$C$22, $C$13, 100%, $E$13)</f>
        <v>14.895099999999999</v>
      </c>
      <c r="K792" s="68">
        <f>14.9019 * CHOOSE(CONTROL!$C$22, $C$13, 100%, $E$13)</f>
        <v>14.901899999999999</v>
      </c>
    </row>
    <row r="793" spans="1:11" ht="15">
      <c r="A793" s="13">
        <v>65259</v>
      </c>
      <c r="B793" s="67">
        <f>13.1062 * CHOOSE(CONTROL!$C$22, $C$13, 100%, $E$13)</f>
        <v>13.106199999999999</v>
      </c>
      <c r="C793" s="67">
        <f>13.1062 * CHOOSE(CONTROL!$C$22, $C$13, 100%, $E$13)</f>
        <v>13.106199999999999</v>
      </c>
      <c r="D793" s="67">
        <f>13.1117 * CHOOSE(CONTROL!$C$22, $C$13, 100%, $E$13)</f>
        <v>13.111700000000001</v>
      </c>
      <c r="E793" s="68">
        <f>14.8655 * CHOOSE(CONTROL!$C$22, $C$13, 100%, $E$13)</f>
        <v>14.865500000000001</v>
      </c>
      <c r="F793" s="68">
        <f>14.8655 * CHOOSE(CONTROL!$C$22, $C$13, 100%, $E$13)</f>
        <v>14.865500000000001</v>
      </c>
      <c r="G793" s="68">
        <f>14.8722 * CHOOSE(CONTROL!$C$22, $C$13, 100%, $E$13)</f>
        <v>14.872199999999999</v>
      </c>
      <c r="H793" s="68">
        <f>23.2061* CHOOSE(CONTROL!$C$22, $C$13, 100%, $E$13)</f>
        <v>23.206099999999999</v>
      </c>
      <c r="I793" s="68">
        <f>23.2129 * CHOOSE(CONTROL!$C$22, $C$13, 100%, $E$13)</f>
        <v>23.212900000000001</v>
      </c>
      <c r="J793" s="68">
        <f>14.8655 * CHOOSE(CONTROL!$C$22, $C$13, 100%, $E$13)</f>
        <v>14.865500000000001</v>
      </c>
      <c r="K793" s="68">
        <f>14.8722 * CHOOSE(CONTROL!$C$22, $C$13, 100%, $E$13)</f>
        <v>14.872199999999999</v>
      </c>
    </row>
    <row r="794" spans="1:11" ht="15">
      <c r="A794" s="13">
        <v>65289</v>
      </c>
      <c r="B794" s="67">
        <f>13.1306 * CHOOSE(CONTROL!$C$22, $C$13, 100%, $E$13)</f>
        <v>13.130599999999999</v>
      </c>
      <c r="C794" s="67">
        <f>13.1306 * CHOOSE(CONTROL!$C$22, $C$13, 100%, $E$13)</f>
        <v>13.130599999999999</v>
      </c>
      <c r="D794" s="67">
        <f>13.1345 * CHOOSE(CONTROL!$C$22, $C$13, 100%, $E$13)</f>
        <v>13.134499999999999</v>
      </c>
      <c r="E794" s="68">
        <f>14.9621 * CHOOSE(CONTROL!$C$22, $C$13, 100%, $E$13)</f>
        <v>14.9621</v>
      </c>
      <c r="F794" s="68">
        <f>14.9621 * CHOOSE(CONTROL!$C$22, $C$13, 100%, $E$13)</f>
        <v>14.9621</v>
      </c>
      <c r="G794" s="68">
        <f>14.9669 * CHOOSE(CONTROL!$C$22, $C$13, 100%, $E$13)</f>
        <v>14.966900000000001</v>
      </c>
      <c r="H794" s="68">
        <f>23.2545* CHOOSE(CONTROL!$C$22, $C$13, 100%, $E$13)</f>
        <v>23.2545</v>
      </c>
      <c r="I794" s="68">
        <f>23.2592 * CHOOSE(CONTROL!$C$22, $C$13, 100%, $E$13)</f>
        <v>23.2592</v>
      </c>
      <c r="J794" s="68">
        <f>14.9621 * CHOOSE(CONTROL!$C$22, $C$13, 100%, $E$13)</f>
        <v>14.9621</v>
      </c>
      <c r="K794" s="68">
        <f>14.9669 * CHOOSE(CONTROL!$C$22, $C$13, 100%, $E$13)</f>
        <v>14.966900000000001</v>
      </c>
    </row>
    <row r="795" spans="1:11" ht="15">
      <c r="A795" s="13">
        <v>65320</v>
      </c>
      <c r="B795" s="67">
        <f>13.1336 * CHOOSE(CONTROL!$C$22, $C$13, 100%, $E$13)</f>
        <v>13.133599999999999</v>
      </c>
      <c r="C795" s="67">
        <f>13.1336 * CHOOSE(CONTROL!$C$22, $C$13, 100%, $E$13)</f>
        <v>13.133599999999999</v>
      </c>
      <c r="D795" s="67">
        <f>13.1375 * CHOOSE(CONTROL!$C$22, $C$13, 100%, $E$13)</f>
        <v>13.137499999999999</v>
      </c>
      <c r="E795" s="68">
        <f>15.0192 * CHOOSE(CONTROL!$C$22, $C$13, 100%, $E$13)</f>
        <v>15.0192</v>
      </c>
      <c r="F795" s="68">
        <f>15.0192 * CHOOSE(CONTROL!$C$22, $C$13, 100%, $E$13)</f>
        <v>15.0192</v>
      </c>
      <c r="G795" s="68">
        <f>15.024 * CHOOSE(CONTROL!$C$22, $C$13, 100%, $E$13)</f>
        <v>15.023999999999999</v>
      </c>
      <c r="H795" s="68">
        <f>23.3029* CHOOSE(CONTROL!$C$22, $C$13, 100%, $E$13)</f>
        <v>23.302900000000001</v>
      </c>
      <c r="I795" s="68">
        <f>23.3077 * CHOOSE(CONTROL!$C$22, $C$13, 100%, $E$13)</f>
        <v>23.307700000000001</v>
      </c>
      <c r="J795" s="68">
        <f>15.0192 * CHOOSE(CONTROL!$C$22, $C$13, 100%, $E$13)</f>
        <v>15.0192</v>
      </c>
      <c r="K795" s="68">
        <f>15.024 * CHOOSE(CONTROL!$C$22, $C$13, 100%, $E$13)</f>
        <v>15.023999999999999</v>
      </c>
    </row>
    <row r="796" spans="1:11" ht="15">
      <c r="A796" s="13">
        <v>65350</v>
      </c>
      <c r="B796" s="67">
        <f>13.1336 * CHOOSE(CONTROL!$C$22, $C$13, 100%, $E$13)</f>
        <v>13.133599999999999</v>
      </c>
      <c r="C796" s="67">
        <f>13.1336 * CHOOSE(CONTROL!$C$22, $C$13, 100%, $E$13)</f>
        <v>13.133599999999999</v>
      </c>
      <c r="D796" s="67">
        <f>13.1375 * CHOOSE(CONTROL!$C$22, $C$13, 100%, $E$13)</f>
        <v>13.137499999999999</v>
      </c>
      <c r="E796" s="68">
        <f>14.8817 * CHOOSE(CONTROL!$C$22, $C$13, 100%, $E$13)</f>
        <v>14.8817</v>
      </c>
      <c r="F796" s="68">
        <f>14.8817 * CHOOSE(CONTROL!$C$22, $C$13, 100%, $E$13)</f>
        <v>14.8817</v>
      </c>
      <c r="G796" s="68">
        <f>14.8865 * CHOOSE(CONTROL!$C$22, $C$13, 100%, $E$13)</f>
        <v>14.8865</v>
      </c>
      <c r="H796" s="68">
        <f>23.3515* CHOOSE(CONTROL!$C$22, $C$13, 100%, $E$13)</f>
        <v>23.351500000000001</v>
      </c>
      <c r="I796" s="68">
        <f>23.3562 * CHOOSE(CONTROL!$C$22, $C$13, 100%, $E$13)</f>
        <v>23.356200000000001</v>
      </c>
      <c r="J796" s="68">
        <f>14.8817 * CHOOSE(CONTROL!$C$22, $C$13, 100%, $E$13)</f>
        <v>14.8817</v>
      </c>
      <c r="K796" s="68">
        <f>14.8865 * CHOOSE(CONTROL!$C$22, $C$13, 100%, $E$13)</f>
        <v>14.8865</v>
      </c>
    </row>
    <row r="797" spans="1:11" ht="15">
      <c r="A797" s="13">
        <v>65381</v>
      </c>
      <c r="B797" s="67">
        <f>13.1365 * CHOOSE(CONTROL!$C$22, $C$13, 100%, $E$13)</f>
        <v>13.1365</v>
      </c>
      <c r="C797" s="67">
        <f>13.1365 * CHOOSE(CONTROL!$C$22, $C$13, 100%, $E$13)</f>
        <v>13.1365</v>
      </c>
      <c r="D797" s="67">
        <f>13.1403 * CHOOSE(CONTROL!$C$22, $C$13, 100%, $E$13)</f>
        <v>13.1403</v>
      </c>
      <c r="E797" s="68">
        <f>14.9941 * CHOOSE(CONTROL!$C$22, $C$13, 100%, $E$13)</f>
        <v>14.9941</v>
      </c>
      <c r="F797" s="68">
        <f>14.9941 * CHOOSE(CONTROL!$C$22, $C$13, 100%, $E$13)</f>
        <v>14.9941</v>
      </c>
      <c r="G797" s="68">
        <f>14.9988 * CHOOSE(CONTROL!$C$22, $C$13, 100%, $E$13)</f>
        <v>14.998799999999999</v>
      </c>
      <c r="H797" s="68">
        <f>23.2266* CHOOSE(CONTROL!$C$22, $C$13, 100%, $E$13)</f>
        <v>23.226600000000001</v>
      </c>
      <c r="I797" s="68">
        <f>23.2314 * CHOOSE(CONTROL!$C$22, $C$13, 100%, $E$13)</f>
        <v>23.231400000000001</v>
      </c>
      <c r="J797" s="68">
        <f>14.9941 * CHOOSE(CONTROL!$C$22, $C$13, 100%, $E$13)</f>
        <v>14.9941</v>
      </c>
      <c r="K797" s="68">
        <f>14.9988 * CHOOSE(CONTROL!$C$22, $C$13, 100%, $E$13)</f>
        <v>14.998799999999999</v>
      </c>
    </row>
    <row r="798" spans="1:11" ht="15">
      <c r="A798" s="13">
        <v>65412</v>
      </c>
      <c r="B798" s="67">
        <f>13.1334 * CHOOSE(CONTROL!$C$22, $C$13, 100%, $E$13)</f>
        <v>13.1334</v>
      </c>
      <c r="C798" s="67">
        <f>13.1334 * CHOOSE(CONTROL!$C$22, $C$13, 100%, $E$13)</f>
        <v>13.1334</v>
      </c>
      <c r="D798" s="67">
        <f>13.1373 * CHOOSE(CONTROL!$C$22, $C$13, 100%, $E$13)</f>
        <v>13.1373</v>
      </c>
      <c r="E798" s="68">
        <f>14.7271 * CHOOSE(CONTROL!$C$22, $C$13, 100%, $E$13)</f>
        <v>14.7271</v>
      </c>
      <c r="F798" s="68">
        <f>14.7271 * CHOOSE(CONTROL!$C$22, $C$13, 100%, $E$13)</f>
        <v>14.7271</v>
      </c>
      <c r="G798" s="68">
        <f>14.7319 * CHOOSE(CONTROL!$C$22, $C$13, 100%, $E$13)</f>
        <v>14.7319</v>
      </c>
      <c r="H798" s="68">
        <f>23.275* CHOOSE(CONTROL!$C$22, $C$13, 100%, $E$13)</f>
        <v>23.274999999999999</v>
      </c>
      <c r="I798" s="68">
        <f>23.2798 * CHOOSE(CONTROL!$C$22, $C$13, 100%, $E$13)</f>
        <v>23.279800000000002</v>
      </c>
      <c r="J798" s="68">
        <f>14.7271 * CHOOSE(CONTROL!$C$22, $C$13, 100%, $E$13)</f>
        <v>14.7271</v>
      </c>
      <c r="K798" s="68">
        <f>14.7319 * CHOOSE(CONTROL!$C$22, $C$13, 100%, $E$13)</f>
        <v>14.7319</v>
      </c>
    </row>
    <row r="799" spans="1:11" ht="15">
      <c r="A799" s="13">
        <v>65440</v>
      </c>
      <c r="B799" s="67">
        <f>13.1304 * CHOOSE(CONTROL!$C$22, $C$13, 100%, $E$13)</f>
        <v>13.1304</v>
      </c>
      <c r="C799" s="67">
        <f>13.1304 * CHOOSE(CONTROL!$C$22, $C$13, 100%, $E$13)</f>
        <v>13.1304</v>
      </c>
      <c r="D799" s="67">
        <f>13.1342 * CHOOSE(CONTROL!$C$22, $C$13, 100%, $E$13)</f>
        <v>13.1342</v>
      </c>
      <c r="E799" s="68">
        <f>14.9338 * CHOOSE(CONTROL!$C$22, $C$13, 100%, $E$13)</f>
        <v>14.9338</v>
      </c>
      <c r="F799" s="68">
        <f>14.9338 * CHOOSE(CONTROL!$C$22, $C$13, 100%, $E$13)</f>
        <v>14.9338</v>
      </c>
      <c r="G799" s="68">
        <f>14.9385 * CHOOSE(CONTROL!$C$22, $C$13, 100%, $E$13)</f>
        <v>14.938499999999999</v>
      </c>
      <c r="H799" s="68">
        <f>23.3235* CHOOSE(CONTROL!$C$22, $C$13, 100%, $E$13)</f>
        <v>23.323499999999999</v>
      </c>
      <c r="I799" s="68">
        <f>23.3282 * CHOOSE(CONTROL!$C$22, $C$13, 100%, $E$13)</f>
        <v>23.328199999999999</v>
      </c>
      <c r="J799" s="68">
        <f>14.9338 * CHOOSE(CONTROL!$C$22, $C$13, 100%, $E$13)</f>
        <v>14.9338</v>
      </c>
      <c r="K799" s="68">
        <f>14.9385 * CHOOSE(CONTROL!$C$22, $C$13, 100%, $E$13)</f>
        <v>14.938499999999999</v>
      </c>
    </row>
    <row r="800" spans="1:11" ht="15">
      <c r="A800" s="13">
        <v>65471</v>
      </c>
      <c r="B800" s="67">
        <f>13.1357 * CHOOSE(CONTROL!$C$22, $C$13, 100%, $E$13)</f>
        <v>13.1357</v>
      </c>
      <c r="C800" s="67">
        <f>13.1357 * CHOOSE(CONTROL!$C$22, $C$13, 100%, $E$13)</f>
        <v>13.1357</v>
      </c>
      <c r="D800" s="67">
        <f>13.1396 * CHOOSE(CONTROL!$C$22, $C$13, 100%, $E$13)</f>
        <v>13.1396</v>
      </c>
      <c r="E800" s="68">
        <f>15.1538 * CHOOSE(CONTROL!$C$22, $C$13, 100%, $E$13)</f>
        <v>15.1538</v>
      </c>
      <c r="F800" s="68">
        <f>15.1538 * CHOOSE(CONTROL!$C$22, $C$13, 100%, $E$13)</f>
        <v>15.1538</v>
      </c>
      <c r="G800" s="68">
        <f>15.1585 * CHOOSE(CONTROL!$C$22, $C$13, 100%, $E$13)</f>
        <v>15.1585</v>
      </c>
      <c r="H800" s="68">
        <f>23.3721* CHOOSE(CONTROL!$C$22, $C$13, 100%, $E$13)</f>
        <v>23.3721</v>
      </c>
      <c r="I800" s="68">
        <f>23.3768 * CHOOSE(CONTROL!$C$22, $C$13, 100%, $E$13)</f>
        <v>23.376799999999999</v>
      </c>
      <c r="J800" s="68">
        <f>15.1538 * CHOOSE(CONTROL!$C$22, $C$13, 100%, $E$13)</f>
        <v>15.1538</v>
      </c>
      <c r="K800" s="68">
        <f>15.1585 * CHOOSE(CONTROL!$C$22, $C$13, 100%, $E$13)</f>
        <v>15.1585</v>
      </c>
    </row>
    <row r="801" spans="1:11" ht="15">
      <c r="A801" s="13">
        <v>65501</v>
      </c>
      <c r="B801" s="67">
        <f>13.1357 * CHOOSE(CONTROL!$C$22, $C$13, 100%, $E$13)</f>
        <v>13.1357</v>
      </c>
      <c r="C801" s="67">
        <f>13.1357 * CHOOSE(CONTROL!$C$22, $C$13, 100%, $E$13)</f>
        <v>13.1357</v>
      </c>
      <c r="D801" s="67">
        <f>13.1412 * CHOOSE(CONTROL!$C$22, $C$13, 100%, $E$13)</f>
        <v>13.1412</v>
      </c>
      <c r="E801" s="68">
        <f>15.2378 * CHOOSE(CONTROL!$C$22, $C$13, 100%, $E$13)</f>
        <v>15.2378</v>
      </c>
      <c r="F801" s="68">
        <f>15.2378 * CHOOSE(CONTROL!$C$22, $C$13, 100%, $E$13)</f>
        <v>15.2378</v>
      </c>
      <c r="G801" s="68">
        <f>15.2446 * CHOOSE(CONTROL!$C$22, $C$13, 100%, $E$13)</f>
        <v>15.2446</v>
      </c>
      <c r="H801" s="68">
        <f>23.4208* CHOOSE(CONTROL!$C$22, $C$13, 100%, $E$13)</f>
        <v>23.4208</v>
      </c>
      <c r="I801" s="68">
        <f>23.4275 * CHOOSE(CONTROL!$C$22, $C$13, 100%, $E$13)</f>
        <v>23.427499999999998</v>
      </c>
      <c r="J801" s="68">
        <f>15.2378 * CHOOSE(CONTROL!$C$22, $C$13, 100%, $E$13)</f>
        <v>15.2378</v>
      </c>
      <c r="K801" s="68">
        <f>15.2446 * CHOOSE(CONTROL!$C$22, $C$13, 100%, $E$13)</f>
        <v>15.2446</v>
      </c>
    </row>
    <row r="802" spans="1:11" ht="15">
      <c r="A802" s="13">
        <v>65532</v>
      </c>
      <c r="B802" s="67">
        <f>13.1418 * CHOOSE(CONTROL!$C$22, $C$13, 100%, $E$13)</f>
        <v>13.1418</v>
      </c>
      <c r="C802" s="67">
        <f>13.1418 * CHOOSE(CONTROL!$C$22, $C$13, 100%, $E$13)</f>
        <v>13.1418</v>
      </c>
      <c r="D802" s="67">
        <f>13.1473 * CHOOSE(CONTROL!$C$22, $C$13, 100%, $E$13)</f>
        <v>13.1473</v>
      </c>
      <c r="E802" s="68">
        <f>15.158 * CHOOSE(CONTROL!$C$22, $C$13, 100%, $E$13)</f>
        <v>15.157999999999999</v>
      </c>
      <c r="F802" s="68">
        <f>15.158 * CHOOSE(CONTROL!$C$22, $C$13, 100%, $E$13)</f>
        <v>15.157999999999999</v>
      </c>
      <c r="G802" s="68">
        <f>15.1647 * CHOOSE(CONTROL!$C$22, $C$13, 100%, $E$13)</f>
        <v>15.1647</v>
      </c>
      <c r="H802" s="68">
        <f>23.4695* CHOOSE(CONTROL!$C$22, $C$13, 100%, $E$13)</f>
        <v>23.4695</v>
      </c>
      <c r="I802" s="68">
        <f>23.4763 * CHOOSE(CONTROL!$C$22, $C$13, 100%, $E$13)</f>
        <v>23.476299999999998</v>
      </c>
      <c r="J802" s="68">
        <f>15.158 * CHOOSE(CONTROL!$C$22, $C$13, 100%, $E$13)</f>
        <v>15.157999999999999</v>
      </c>
      <c r="K802" s="68">
        <f>15.1647 * CHOOSE(CONTROL!$C$22, $C$13, 100%, $E$13)</f>
        <v>15.1647</v>
      </c>
    </row>
    <row r="803" spans="1:11" ht="15">
      <c r="A803" s="13">
        <v>65562</v>
      </c>
      <c r="B803" s="67">
        <f>13.3417 * CHOOSE(CONTROL!$C$22, $C$13, 100%, $E$13)</f>
        <v>13.341699999999999</v>
      </c>
      <c r="C803" s="67">
        <f>13.3417 * CHOOSE(CONTROL!$C$22, $C$13, 100%, $E$13)</f>
        <v>13.341699999999999</v>
      </c>
      <c r="D803" s="67">
        <f>13.3472 * CHOOSE(CONTROL!$C$22, $C$13, 100%, $E$13)</f>
        <v>13.347200000000001</v>
      </c>
      <c r="E803" s="68">
        <f>15.3998 * CHOOSE(CONTROL!$C$22, $C$13, 100%, $E$13)</f>
        <v>15.399800000000001</v>
      </c>
      <c r="F803" s="68">
        <f>15.3998 * CHOOSE(CONTROL!$C$22, $C$13, 100%, $E$13)</f>
        <v>15.399800000000001</v>
      </c>
      <c r="G803" s="68">
        <f>15.4065 * CHOOSE(CONTROL!$C$22, $C$13, 100%, $E$13)</f>
        <v>15.406499999999999</v>
      </c>
      <c r="H803" s="68">
        <f>23.5184* CHOOSE(CONTROL!$C$22, $C$13, 100%, $E$13)</f>
        <v>23.5184</v>
      </c>
      <c r="I803" s="68">
        <f>23.5252 * CHOOSE(CONTROL!$C$22, $C$13, 100%, $E$13)</f>
        <v>23.525200000000002</v>
      </c>
      <c r="J803" s="68">
        <f>15.3998 * CHOOSE(CONTROL!$C$22, $C$13, 100%, $E$13)</f>
        <v>15.399800000000001</v>
      </c>
      <c r="K803" s="68">
        <f>15.4065 * CHOOSE(CONTROL!$C$22, $C$13, 100%, $E$13)</f>
        <v>15.406499999999999</v>
      </c>
    </row>
    <row r="804" spans="1:11" ht="15">
      <c r="A804" s="13">
        <v>65593</v>
      </c>
      <c r="B804" s="67">
        <f>13.3484 * CHOOSE(CONTROL!$C$22, $C$13, 100%, $E$13)</f>
        <v>13.3484</v>
      </c>
      <c r="C804" s="67">
        <f>13.3484 * CHOOSE(CONTROL!$C$22, $C$13, 100%, $E$13)</f>
        <v>13.3484</v>
      </c>
      <c r="D804" s="67">
        <f>13.3539 * CHOOSE(CONTROL!$C$22, $C$13, 100%, $E$13)</f>
        <v>13.353899999999999</v>
      </c>
      <c r="E804" s="68">
        <f>15.1522 * CHOOSE(CONTROL!$C$22, $C$13, 100%, $E$13)</f>
        <v>15.152200000000001</v>
      </c>
      <c r="F804" s="68">
        <f>15.1522 * CHOOSE(CONTROL!$C$22, $C$13, 100%, $E$13)</f>
        <v>15.152200000000001</v>
      </c>
      <c r="G804" s="68">
        <f>15.1589 * CHOOSE(CONTROL!$C$22, $C$13, 100%, $E$13)</f>
        <v>15.158899999999999</v>
      </c>
      <c r="H804" s="68">
        <f>23.5674* CHOOSE(CONTROL!$C$22, $C$13, 100%, $E$13)</f>
        <v>23.567399999999999</v>
      </c>
      <c r="I804" s="68">
        <f>23.5742 * CHOOSE(CONTROL!$C$22, $C$13, 100%, $E$13)</f>
        <v>23.574200000000001</v>
      </c>
      <c r="J804" s="68">
        <f>15.1522 * CHOOSE(CONTROL!$C$22, $C$13, 100%, $E$13)</f>
        <v>15.152200000000001</v>
      </c>
      <c r="K804" s="68">
        <f>15.1589 * CHOOSE(CONTROL!$C$22, $C$13, 100%, $E$13)</f>
        <v>15.158899999999999</v>
      </c>
    </row>
    <row r="805" spans="1:11" ht="15">
      <c r="A805" s="13">
        <v>65624</v>
      </c>
      <c r="B805" s="67">
        <f>13.3454 * CHOOSE(CONTROL!$C$22, $C$13, 100%, $E$13)</f>
        <v>13.3454</v>
      </c>
      <c r="C805" s="67">
        <f>13.3454 * CHOOSE(CONTROL!$C$22, $C$13, 100%, $E$13)</f>
        <v>13.3454</v>
      </c>
      <c r="D805" s="67">
        <f>13.3509 * CHOOSE(CONTROL!$C$22, $C$13, 100%, $E$13)</f>
        <v>13.350899999999999</v>
      </c>
      <c r="E805" s="68">
        <f>15.1221 * CHOOSE(CONTROL!$C$22, $C$13, 100%, $E$13)</f>
        <v>15.1221</v>
      </c>
      <c r="F805" s="68">
        <f>15.1221 * CHOOSE(CONTROL!$C$22, $C$13, 100%, $E$13)</f>
        <v>15.1221</v>
      </c>
      <c r="G805" s="68">
        <f>15.1288 * CHOOSE(CONTROL!$C$22, $C$13, 100%, $E$13)</f>
        <v>15.1288</v>
      </c>
      <c r="H805" s="68">
        <f>23.6165* CHOOSE(CONTROL!$C$22, $C$13, 100%, $E$13)</f>
        <v>23.616499999999998</v>
      </c>
      <c r="I805" s="68">
        <f>23.6233 * CHOOSE(CONTROL!$C$22, $C$13, 100%, $E$13)</f>
        <v>23.6233</v>
      </c>
      <c r="J805" s="68">
        <f>15.1221 * CHOOSE(CONTROL!$C$22, $C$13, 100%, $E$13)</f>
        <v>15.1221</v>
      </c>
      <c r="K805" s="68">
        <f>15.1288 * CHOOSE(CONTROL!$C$22, $C$13, 100%, $E$13)</f>
        <v>15.1288</v>
      </c>
    </row>
    <row r="806" spans="1:11" ht="15">
      <c r="A806" s="13">
        <v>65654</v>
      </c>
      <c r="B806" s="67">
        <f>13.3705 * CHOOSE(CONTROL!$C$22, $C$13, 100%, $E$13)</f>
        <v>13.3705</v>
      </c>
      <c r="C806" s="67">
        <f>13.3705 * CHOOSE(CONTROL!$C$22, $C$13, 100%, $E$13)</f>
        <v>13.3705</v>
      </c>
      <c r="D806" s="67">
        <f>13.3744 * CHOOSE(CONTROL!$C$22, $C$13, 100%, $E$13)</f>
        <v>13.3744</v>
      </c>
      <c r="E806" s="68">
        <f>15.2207 * CHOOSE(CONTROL!$C$22, $C$13, 100%, $E$13)</f>
        <v>15.220700000000001</v>
      </c>
      <c r="F806" s="68">
        <f>15.2207 * CHOOSE(CONTROL!$C$22, $C$13, 100%, $E$13)</f>
        <v>15.220700000000001</v>
      </c>
      <c r="G806" s="68">
        <f>15.2255 * CHOOSE(CONTROL!$C$22, $C$13, 100%, $E$13)</f>
        <v>15.2255</v>
      </c>
      <c r="H806" s="68">
        <f>23.6657* CHOOSE(CONTROL!$C$22, $C$13, 100%, $E$13)</f>
        <v>23.665700000000001</v>
      </c>
      <c r="I806" s="68">
        <f>23.6705 * CHOOSE(CONTROL!$C$22, $C$13, 100%, $E$13)</f>
        <v>23.670500000000001</v>
      </c>
      <c r="J806" s="68">
        <f>15.2207 * CHOOSE(CONTROL!$C$22, $C$13, 100%, $E$13)</f>
        <v>15.220700000000001</v>
      </c>
      <c r="K806" s="68">
        <f>15.2255 * CHOOSE(CONTROL!$C$22, $C$13, 100%, $E$13)</f>
        <v>15.2255</v>
      </c>
    </row>
    <row r="807" spans="1:11" ht="15">
      <c r="A807" s="13">
        <v>65685</v>
      </c>
      <c r="B807" s="67">
        <f>13.3736 * CHOOSE(CONTROL!$C$22, $C$13, 100%, $E$13)</f>
        <v>13.3736</v>
      </c>
      <c r="C807" s="67">
        <f>13.3736 * CHOOSE(CONTROL!$C$22, $C$13, 100%, $E$13)</f>
        <v>13.3736</v>
      </c>
      <c r="D807" s="67">
        <f>13.3774 * CHOOSE(CONTROL!$C$22, $C$13, 100%, $E$13)</f>
        <v>13.3774</v>
      </c>
      <c r="E807" s="68">
        <f>15.2789 * CHOOSE(CONTROL!$C$22, $C$13, 100%, $E$13)</f>
        <v>15.2789</v>
      </c>
      <c r="F807" s="68">
        <f>15.2789 * CHOOSE(CONTROL!$C$22, $C$13, 100%, $E$13)</f>
        <v>15.2789</v>
      </c>
      <c r="G807" s="68">
        <f>15.2837 * CHOOSE(CONTROL!$C$22, $C$13, 100%, $E$13)</f>
        <v>15.2837</v>
      </c>
      <c r="H807" s="68">
        <f>23.715* CHOOSE(CONTROL!$C$22, $C$13, 100%, $E$13)</f>
        <v>23.715</v>
      </c>
      <c r="I807" s="68">
        <f>23.7198 * CHOOSE(CONTROL!$C$22, $C$13, 100%, $E$13)</f>
        <v>23.719799999999999</v>
      </c>
      <c r="J807" s="68">
        <f>15.2789 * CHOOSE(CONTROL!$C$22, $C$13, 100%, $E$13)</f>
        <v>15.2789</v>
      </c>
      <c r="K807" s="68">
        <f>15.2837 * CHOOSE(CONTROL!$C$22, $C$13, 100%, $E$13)</f>
        <v>15.2837</v>
      </c>
    </row>
    <row r="808" spans="1:11" ht="15">
      <c r="A808" s="13">
        <v>65715</v>
      </c>
      <c r="B808" s="67">
        <f>13.3736 * CHOOSE(CONTROL!$C$22, $C$13, 100%, $E$13)</f>
        <v>13.3736</v>
      </c>
      <c r="C808" s="67">
        <f>13.3736 * CHOOSE(CONTROL!$C$22, $C$13, 100%, $E$13)</f>
        <v>13.3736</v>
      </c>
      <c r="D808" s="67">
        <f>13.3774 * CHOOSE(CONTROL!$C$22, $C$13, 100%, $E$13)</f>
        <v>13.3774</v>
      </c>
      <c r="E808" s="68">
        <f>15.1388 * CHOOSE(CONTROL!$C$22, $C$13, 100%, $E$13)</f>
        <v>15.1388</v>
      </c>
      <c r="F808" s="68">
        <f>15.1388 * CHOOSE(CONTROL!$C$22, $C$13, 100%, $E$13)</f>
        <v>15.1388</v>
      </c>
      <c r="G808" s="68">
        <f>15.1436 * CHOOSE(CONTROL!$C$22, $C$13, 100%, $E$13)</f>
        <v>15.143599999999999</v>
      </c>
      <c r="H808" s="68">
        <f>23.7644* CHOOSE(CONTROL!$C$22, $C$13, 100%, $E$13)</f>
        <v>23.764399999999998</v>
      </c>
      <c r="I808" s="68">
        <f>23.7692 * CHOOSE(CONTROL!$C$22, $C$13, 100%, $E$13)</f>
        <v>23.769200000000001</v>
      </c>
      <c r="J808" s="68">
        <f>15.1388 * CHOOSE(CONTROL!$C$22, $C$13, 100%, $E$13)</f>
        <v>15.1388</v>
      </c>
      <c r="K808" s="68">
        <f>15.1436 * CHOOSE(CONTROL!$C$22, $C$13, 100%, $E$13)</f>
        <v>15.143599999999999</v>
      </c>
    </row>
    <row r="809" spans="1:11" ht="15">
      <c r="A809" s="13">
        <v>65746</v>
      </c>
      <c r="B809" s="67">
        <f>13.372 * CHOOSE(CONTROL!$C$22, $C$13, 100%, $E$13)</f>
        <v>13.372</v>
      </c>
      <c r="C809" s="67">
        <f>13.372 * CHOOSE(CONTROL!$C$22, $C$13, 100%, $E$13)</f>
        <v>13.372</v>
      </c>
      <c r="D809" s="67">
        <f>13.3759 * CHOOSE(CONTROL!$C$22, $C$13, 100%, $E$13)</f>
        <v>13.3759</v>
      </c>
      <c r="E809" s="68">
        <f>15.2488 * CHOOSE(CONTROL!$C$22, $C$13, 100%, $E$13)</f>
        <v>15.248799999999999</v>
      </c>
      <c r="F809" s="68">
        <f>15.2488 * CHOOSE(CONTROL!$C$22, $C$13, 100%, $E$13)</f>
        <v>15.248799999999999</v>
      </c>
      <c r="G809" s="68">
        <f>15.2536 * CHOOSE(CONTROL!$C$22, $C$13, 100%, $E$13)</f>
        <v>15.2536</v>
      </c>
      <c r="H809" s="68">
        <f>23.6302* CHOOSE(CONTROL!$C$22, $C$13, 100%, $E$13)</f>
        <v>23.630199999999999</v>
      </c>
      <c r="I809" s="68">
        <f>23.635 * CHOOSE(CONTROL!$C$22, $C$13, 100%, $E$13)</f>
        <v>23.635000000000002</v>
      </c>
      <c r="J809" s="68">
        <f>15.2488 * CHOOSE(CONTROL!$C$22, $C$13, 100%, $E$13)</f>
        <v>15.248799999999999</v>
      </c>
      <c r="K809" s="68">
        <f>15.2536 * CHOOSE(CONTROL!$C$22, $C$13, 100%, $E$13)</f>
        <v>15.2536</v>
      </c>
    </row>
    <row r="810" spans="1:11" ht="15">
      <c r="A810" s="13">
        <v>65777</v>
      </c>
      <c r="B810" s="67">
        <f>13.369 * CHOOSE(CONTROL!$C$22, $C$13, 100%, $E$13)</f>
        <v>13.369</v>
      </c>
      <c r="C810" s="67">
        <f>13.369 * CHOOSE(CONTROL!$C$22, $C$13, 100%, $E$13)</f>
        <v>13.369</v>
      </c>
      <c r="D810" s="67">
        <f>13.3729 * CHOOSE(CONTROL!$C$22, $C$13, 100%, $E$13)</f>
        <v>13.3729</v>
      </c>
      <c r="E810" s="68">
        <f>14.9769 * CHOOSE(CONTROL!$C$22, $C$13, 100%, $E$13)</f>
        <v>14.976900000000001</v>
      </c>
      <c r="F810" s="68">
        <f>14.9769 * CHOOSE(CONTROL!$C$22, $C$13, 100%, $E$13)</f>
        <v>14.976900000000001</v>
      </c>
      <c r="G810" s="68">
        <f>14.9817 * CHOOSE(CONTROL!$C$22, $C$13, 100%, $E$13)</f>
        <v>14.9817</v>
      </c>
      <c r="H810" s="68">
        <f>23.6795* CHOOSE(CONTROL!$C$22, $C$13, 100%, $E$13)</f>
        <v>23.679500000000001</v>
      </c>
      <c r="I810" s="68">
        <f>23.6842 * CHOOSE(CONTROL!$C$22, $C$13, 100%, $E$13)</f>
        <v>23.684200000000001</v>
      </c>
      <c r="J810" s="68">
        <f>14.9769 * CHOOSE(CONTROL!$C$22, $C$13, 100%, $E$13)</f>
        <v>14.976900000000001</v>
      </c>
      <c r="K810" s="68">
        <f>14.9817 * CHOOSE(CONTROL!$C$22, $C$13, 100%, $E$13)</f>
        <v>14.9817</v>
      </c>
    </row>
    <row r="811" spans="1:11" ht="15">
      <c r="A811" s="13">
        <v>65806</v>
      </c>
      <c r="B811" s="67">
        <f>13.3659 * CHOOSE(CONTROL!$C$22, $C$13, 100%, $E$13)</f>
        <v>13.3659</v>
      </c>
      <c r="C811" s="67">
        <f>13.3659 * CHOOSE(CONTROL!$C$22, $C$13, 100%, $E$13)</f>
        <v>13.3659</v>
      </c>
      <c r="D811" s="67">
        <f>13.3698 * CHOOSE(CONTROL!$C$22, $C$13, 100%, $E$13)</f>
        <v>13.3698</v>
      </c>
      <c r="E811" s="68">
        <f>15.1874 * CHOOSE(CONTROL!$C$22, $C$13, 100%, $E$13)</f>
        <v>15.1874</v>
      </c>
      <c r="F811" s="68">
        <f>15.1874 * CHOOSE(CONTROL!$C$22, $C$13, 100%, $E$13)</f>
        <v>15.1874</v>
      </c>
      <c r="G811" s="68">
        <f>15.1922 * CHOOSE(CONTROL!$C$22, $C$13, 100%, $E$13)</f>
        <v>15.1922</v>
      </c>
      <c r="H811" s="68">
        <f>23.7288* CHOOSE(CONTROL!$C$22, $C$13, 100%, $E$13)</f>
        <v>23.7288</v>
      </c>
      <c r="I811" s="68">
        <f>23.7336 * CHOOSE(CONTROL!$C$22, $C$13, 100%, $E$13)</f>
        <v>23.733599999999999</v>
      </c>
      <c r="J811" s="68">
        <f>15.1874 * CHOOSE(CONTROL!$C$22, $C$13, 100%, $E$13)</f>
        <v>15.1874</v>
      </c>
      <c r="K811" s="68">
        <f>15.1922 * CHOOSE(CONTROL!$C$22, $C$13, 100%, $E$13)</f>
        <v>15.1922</v>
      </c>
    </row>
    <row r="812" spans="1:11" ht="15">
      <c r="A812" s="13">
        <v>65837</v>
      </c>
      <c r="B812" s="67">
        <f>13.3715 * CHOOSE(CONTROL!$C$22, $C$13, 100%, $E$13)</f>
        <v>13.371499999999999</v>
      </c>
      <c r="C812" s="67">
        <f>13.3715 * CHOOSE(CONTROL!$C$22, $C$13, 100%, $E$13)</f>
        <v>13.371499999999999</v>
      </c>
      <c r="D812" s="67">
        <f>13.3753 * CHOOSE(CONTROL!$C$22, $C$13, 100%, $E$13)</f>
        <v>13.375299999999999</v>
      </c>
      <c r="E812" s="68">
        <f>15.4116 * CHOOSE(CONTROL!$C$22, $C$13, 100%, $E$13)</f>
        <v>15.4116</v>
      </c>
      <c r="F812" s="68">
        <f>15.4116 * CHOOSE(CONTROL!$C$22, $C$13, 100%, $E$13)</f>
        <v>15.4116</v>
      </c>
      <c r="G812" s="68">
        <f>15.4164 * CHOOSE(CONTROL!$C$22, $C$13, 100%, $E$13)</f>
        <v>15.416399999999999</v>
      </c>
      <c r="H812" s="68">
        <f>23.7782* CHOOSE(CONTROL!$C$22, $C$13, 100%, $E$13)</f>
        <v>23.778199999999998</v>
      </c>
      <c r="I812" s="68">
        <f>23.783 * CHOOSE(CONTROL!$C$22, $C$13, 100%, $E$13)</f>
        <v>23.783000000000001</v>
      </c>
      <c r="J812" s="68">
        <f>15.4116 * CHOOSE(CONTROL!$C$22, $C$13, 100%, $E$13)</f>
        <v>15.4116</v>
      </c>
      <c r="K812" s="68">
        <f>15.4164 * CHOOSE(CONTROL!$C$22, $C$13, 100%, $E$13)</f>
        <v>15.416399999999999</v>
      </c>
    </row>
    <row r="813" spans="1:11" ht="15">
      <c r="A813" s="13">
        <v>65867</v>
      </c>
      <c r="B813" s="67">
        <f>13.3715 * CHOOSE(CONTROL!$C$22, $C$13, 100%, $E$13)</f>
        <v>13.371499999999999</v>
      </c>
      <c r="C813" s="67">
        <f>13.3715 * CHOOSE(CONTROL!$C$22, $C$13, 100%, $E$13)</f>
        <v>13.371499999999999</v>
      </c>
      <c r="D813" s="67">
        <f>13.377 * CHOOSE(CONTROL!$C$22, $C$13, 100%, $E$13)</f>
        <v>13.377000000000001</v>
      </c>
      <c r="E813" s="68">
        <f>15.4973 * CHOOSE(CONTROL!$C$22, $C$13, 100%, $E$13)</f>
        <v>15.497299999999999</v>
      </c>
      <c r="F813" s="68">
        <f>15.4973 * CHOOSE(CONTROL!$C$22, $C$13, 100%, $E$13)</f>
        <v>15.497299999999999</v>
      </c>
      <c r="G813" s="68">
        <f>15.504 * CHOOSE(CONTROL!$C$22, $C$13, 100%, $E$13)</f>
        <v>15.504</v>
      </c>
      <c r="H813" s="68">
        <f>23.8278* CHOOSE(CONTROL!$C$22, $C$13, 100%, $E$13)</f>
        <v>23.8278</v>
      </c>
      <c r="I813" s="68">
        <f>23.8345 * CHOOSE(CONTROL!$C$22, $C$13, 100%, $E$13)</f>
        <v>23.834499999999998</v>
      </c>
      <c r="J813" s="68">
        <f>15.4973 * CHOOSE(CONTROL!$C$22, $C$13, 100%, $E$13)</f>
        <v>15.497299999999999</v>
      </c>
      <c r="K813" s="68">
        <f>15.504 * CHOOSE(CONTROL!$C$22, $C$13, 100%, $E$13)</f>
        <v>15.504</v>
      </c>
    </row>
    <row r="814" spans="1:11" ht="15">
      <c r="A814" s="13">
        <v>65898</v>
      </c>
      <c r="B814" s="67">
        <f>13.3775 * CHOOSE(CONTROL!$C$22, $C$13, 100%, $E$13)</f>
        <v>13.3775</v>
      </c>
      <c r="C814" s="67">
        <f>13.3775 * CHOOSE(CONTROL!$C$22, $C$13, 100%, $E$13)</f>
        <v>13.3775</v>
      </c>
      <c r="D814" s="67">
        <f>13.383 * CHOOSE(CONTROL!$C$22, $C$13, 100%, $E$13)</f>
        <v>13.382999999999999</v>
      </c>
      <c r="E814" s="68">
        <f>15.4159 * CHOOSE(CONTROL!$C$22, $C$13, 100%, $E$13)</f>
        <v>15.415900000000001</v>
      </c>
      <c r="F814" s="68">
        <f>15.4159 * CHOOSE(CONTROL!$C$22, $C$13, 100%, $E$13)</f>
        <v>15.415900000000001</v>
      </c>
      <c r="G814" s="68">
        <f>15.4226 * CHOOSE(CONTROL!$C$22, $C$13, 100%, $E$13)</f>
        <v>15.422599999999999</v>
      </c>
      <c r="H814" s="68">
        <f>23.8774* CHOOSE(CONTROL!$C$22, $C$13, 100%, $E$13)</f>
        <v>23.877400000000002</v>
      </c>
      <c r="I814" s="68">
        <f>23.8841 * CHOOSE(CONTROL!$C$22, $C$13, 100%, $E$13)</f>
        <v>23.8841</v>
      </c>
      <c r="J814" s="68">
        <f>15.4159 * CHOOSE(CONTROL!$C$22, $C$13, 100%, $E$13)</f>
        <v>15.415900000000001</v>
      </c>
      <c r="K814" s="68">
        <f>15.4226 * CHOOSE(CONTROL!$C$22, $C$13, 100%, $E$13)</f>
        <v>15.422599999999999</v>
      </c>
    </row>
    <row r="815" spans="1:11" ht="15">
      <c r="A815" s="13">
        <v>65928</v>
      </c>
      <c r="B815" s="67">
        <f>13.5809 * CHOOSE(CONTROL!$C$22, $C$13, 100%, $E$13)</f>
        <v>13.5809</v>
      </c>
      <c r="C815" s="67">
        <f>13.5809 * CHOOSE(CONTROL!$C$22, $C$13, 100%, $E$13)</f>
        <v>13.5809</v>
      </c>
      <c r="D815" s="67">
        <f>13.5864 * CHOOSE(CONTROL!$C$22, $C$13, 100%, $E$13)</f>
        <v>13.586399999999999</v>
      </c>
      <c r="E815" s="68">
        <f>15.6616 * CHOOSE(CONTROL!$C$22, $C$13, 100%, $E$13)</f>
        <v>15.6616</v>
      </c>
      <c r="F815" s="68">
        <f>15.6616 * CHOOSE(CONTROL!$C$22, $C$13, 100%, $E$13)</f>
        <v>15.6616</v>
      </c>
      <c r="G815" s="68">
        <f>15.6683 * CHOOSE(CONTROL!$C$22, $C$13, 100%, $E$13)</f>
        <v>15.6683</v>
      </c>
      <c r="H815" s="68">
        <f>23.9271* CHOOSE(CONTROL!$C$22, $C$13, 100%, $E$13)</f>
        <v>23.927099999999999</v>
      </c>
      <c r="I815" s="68">
        <f>23.9339 * CHOOSE(CONTROL!$C$22, $C$13, 100%, $E$13)</f>
        <v>23.933900000000001</v>
      </c>
      <c r="J815" s="68">
        <f>15.6616 * CHOOSE(CONTROL!$C$22, $C$13, 100%, $E$13)</f>
        <v>15.6616</v>
      </c>
      <c r="K815" s="68">
        <f>15.6683 * CHOOSE(CONTROL!$C$22, $C$13, 100%, $E$13)</f>
        <v>15.6683</v>
      </c>
    </row>
    <row r="816" spans="1:11" ht="15">
      <c r="A816" s="13">
        <v>65959</v>
      </c>
      <c r="B816" s="67">
        <f>13.5876 * CHOOSE(CONTROL!$C$22, $C$13, 100%, $E$13)</f>
        <v>13.5876</v>
      </c>
      <c r="C816" s="67">
        <f>13.5876 * CHOOSE(CONTROL!$C$22, $C$13, 100%, $E$13)</f>
        <v>13.5876</v>
      </c>
      <c r="D816" s="67">
        <f>13.5931 * CHOOSE(CONTROL!$C$22, $C$13, 100%, $E$13)</f>
        <v>13.5931</v>
      </c>
      <c r="E816" s="68">
        <f>15.4093 * CHOOSE(CONTROL!$C$22, $C$13, 100%, $E$13)</f>
        <v>15.4093</v>
      </c>
      <c r="F816" s="68">
        <f>15.4093 * CHOOSE(CONTROL!$C$22, $C$13, 100%, $E$13)</f>
        <v>15.4093</v>
      </c>
      <c r="G816" s="68">
        <f>15.416 * CHOOSE(CONTROL!$C$22, $C$13, 100%, $E$13)</f>
        <v>15.416</v>
      </c>
      <c r="H816" s="68">
        <f>23.977* CHOOSE(CONTROL!$C$22, $C$13, 100%, $E$13)</f>
        <v>23.977</v>
      </c>
      <c r="I816" s="68">
        <f>23.9837 * CHOOSE(CONTROL!$C$22, $C$13, 100%, $E$13)</f>
        <v>23.983699999999999</v>
      </c>
      <c r="J816" s="68">
        <f>15.4093 * CHOOSE(CONTROL!$C$22, $C$13, 100%, $E$13)</f>
        <v>15.4093</v>
      </c>
      <c r="K816" s="68">
        <f>15.416 * CHOOSE(CONTROL!$C$22, $C$13, 100%, $E$13)</f>
        <v>15.416</v>
      </c>
    </row>
    <row r="817" spans="1:11" ht="15">
      <c r="A817" s="13">
        <v>65990</v>
      </c>
      <c r="B817" s="67">
        <f>13.5845 * CHOOSE(CONTROL!$C$22, $C$13, 100%, $E$13)</f>
        <v>13.5845</v>
      </c>
      <c r="C817" s="67">
        <f>13.5845 * CHOOSE(CONTROL!$C$22, $C$13, 100%, $E$13)</f>
        <v>13.5845</v>
      </c>
      <c r="D817" s="67">
        <f>13.59 * CHOOSE(CONTROL!$C$22, $C$13, 100%, $E$13)</f>
        <v>13.59</v>
      </c>
      <c r="E817" s="68">
        <f>15.3786 * CHOOSE(CONTROL!$C$22, $C$13, 100%, $E$13)</f>
        <v>15.3786</v>
      </c>
      <c r="F817" s="68">
        <f>15.3786 * CHOOSE(CONTROL!$C$22, $C$13, 100%, $E$13)</f>
        <v>15.3786</v>
      </c>
      <c r="G817" s="68">
        <f>15.3853 * CHOOSE(CONTROL!$C$22, $C$13, 100%, $E$13)</f>
        <v>15.385300000000001</v>
      </c>
      <c r="H817" s="68">
        <f>24.0269* CHOOSE(CONTROL!$C$22, $C$13, 100%, $E$13)</f>
        <v>24.026900000000001</v>
      </c>
      <c r="I817" s="68">
        <f>24.0337 * CHOOSE(CONTROL!$C$22, $C$13, 100%, $E$13)</f>
        <v>24.0337</v>
      </c>
      <c r="J817" s="68">
        <f>15.3786 * CHOOSE(CONTROL!$C$22, $C$13, 100%, $E$13)</f>
        <v>15.3786</v>
      </c>
      <c r="K817" s="68">
        <f>15.3853 * CHOOSE(CONTROL!$C$22, $C$13, 100%, $E$13)</f>
        <v>15.385300000000001</v>
      </c>
    </row>
    <row r="818" spans="1:11" ht="15">
      <c r="A818" s="13">
        <v>66020</v>
      </c>
      <c r="B818" s="67">
        <f>13.6105 * CHOOSE(CONTROL!$C$22, $C$13, 100%, $E$13)</f>
        <v>13.6105</v>
      </c>
      <c r="C818" s="67">
        <f>13.6105 * CHOOSE(CONTROL!$C$22, $C$13, 100%, $E$13)</f>
        <v>13.6105</v>
      </c>
      <c r="D818" s="67">
        <f>13.6143 * CHOOSE(CONTROL!$C$22, $C$13, 100%, $E$13)</f>
        <v>13.6143</v>
      </c>
      <c r="E818" s="68">
        <f>15.4794 * CHOOSE(CONTROL!$C$22, $C$13, 100%, $E$13)</f>
        <v>15.4794</v>
      </c>
      <c r="F818" s="68">
        <f>15.4794 * CHOOSE(CONTROL!$C$22, $C$13, 100%, $E$13)</f>
        <v>15.4794</v>
      </c>
      <c r="G818" s="68">
        <f>15.4842 * CHOOSE(CONTROL!$C$22, $C$13, 100%, $E$13)</f>
        <v>15.4842</v>
      </c>
      <c r="H818" s="68">
        <f>24.077* CHOOSE(CONTROL!$C$22, $C$13, 100%, $E$13)</f>
        <v>24.077000000000002</v>
      </c>
      <c r="I818" s="68">
        <f>24.0818 * CHOOSE(CONTROL!$C$22, $C$13, 100%, $E$13)</f>
        <v>24.081800000000001</v>
      </c>
      <c r="J818" s="68">
        <f>15.4794 * CHOOSE(CONTROL!$C$22, $C$13, 100%, $E$13)</f>
        <v>15.4794</v>
      </c>
      <c r="K818" s="68">
        <f>15.4842 * CHOOSE(CONTROL!$C$22, $C$13, 100%, $E$13)</f>
        <v>15.4842</v>
      </c>
    </row>
    <row r="819" spans="1:11" ht="15">
      <c r="A819" s="13">
        <v>66051</v>
      </c>
      <c r="B819" s="67">
        <f>13.6135 * CHOOSE(CONTROL!$C$22, $C$13, 100%, $E$13)</f>
        <v>13.6135</v>
      </c>
      <c r="C819" s="67">
        <f>13.6135 * CHOOSE(CONTROL!$C$22, $C$13, 100%, $E$13)</f>
        <v>13.6135</v>
      </c>
      <c r="D819" s="67">
        <f>13.6174 * CHOOSE(CONTROL!$C$22, $C$13, 100%, $E$13)</f>
        <v>13.6174</v>
      </c>
      <c r="E819" s="68">
        <f>15.5386 * CHOOSE(CONTROL!$C$22, $C$13, 100%, $E$13)</f>
        <v>15.538600000000001</v>
      </c>
      <c r="F819" s="68">
        <f>15.5386 * CHOOSE(CONTROL!$C$22, $C$13, 100%, $E$13)</f>
        <v>15.538600000000001</v>
      </c>
      <c r="G819" s="68">
        <f>15.5434 * CHOOSE(CONTROL!$C$22, $C$13, 100%, $E$13)</f>
        <v>15.5434</v>
      </c>
      <c r="H819" s="68">
        <f>24.1272* CHOOSE(CONTROL!$C$22, $C$13, 100%, $E$13)</f>
        <v>24.127199999999998</v>
      </c>
      <c r="I819" s="68">
        <f>24.1319 * CHOOSE(CONTROL!$C$22, $C$13, 100%, $E$13)</f>
        <v>24.131900000000002</v>
      </c>
      <c r="J819" s="68">
        <f>15.5386 * CHOOSE(CONTROL!$C$22, $C$13, 100%, $E$13)</f>
        <v>15.538600000000001</v>
      </c>
      <c r="K819" s="68">
        <f>15.5434 * CHOOSE(CONTROL!$C$22, $C$13, 100%, $E$13)</f>
        <v>15.5434</v>
      </c>
    </row>
    <row r="820" spans="1:11" ht="15">
      <c r="A820" s="13">
        <v>66081</v>
      </c>
      <c r="B820" s="67">
        <f>13.6135 * CHOOSE(CONTROL!$C$22, $C$13, 100%, $E$13)</f>
        <v>13.6135</v>
      </c>
      <c r="C820" s="67">
        <f>13.6135 * CHOOSE(CONTROL!$C$22, $C$13, 100%, $E$13)</f>
        <v>13.6135</v>
      </c>
      <c r="D820" s="67">
        <f>13.6174 * CHOOSE(CONTROL!$C$22, $C$13, 100%, $E$13)</f>
        <v>13.6174</v>
      </c>
      <c r="E820" s="68">
        <f>15.3959 * CHOOSE(CONTROL!$C$22, $C$13, 100%, $E$13)</f>
        <v>15.395899999999999</v>
      </c>
      <c r="F820" s="68">
        <f>15.3959 * CHOOSE(CONTROL!$C$22, $C$13, 100%, $E$13)</f>
        <v>15.395899999999999</v>
      </c>
      <c r="G820" s="68">
        <f>15.4006 * CHOOSE(CONTROL!$C$22, $C$13, 100%, $E$13)</f>
        <v>15.400600000000001</v>
      </c>
      <c r="H820" s="68">
        <f>24.1774* CHOOSE(CONTROL!$C$22, $C$13, 100%, $E$13)</f>
        <v>24.177399999999999</v>
      </c>
      <c r="I820" s="68">
        <f>24.1822 * CHOOSE(CONTROL!$C$22, $C$13, 100%, $E$13)</f>
        <v>24.182200000000002</v>
      </c>
      <c r="J820" s="68">
        <f>15.3959 * CHOOSE(CONTROL!$C$22, $C$13, 100%, $E$13)</f>
        <v>15.395899999999999</v>
      </c>
      <c r="K820" s="68">
        <f>15.4006 * CHOOSE(CONTROL!$C$22, $C$13, 100%, $E$13)</f>
        <v>15.400600000000001</v>
      </c>
    </row>
    <row r="821" spans="1:11" ht="15">
      <c r="A821" s="13">
        <v>66112</v>
      </c>
      <c r="B821" s="67">
        <f>13.6076 * CHOOSE(CONTROL!$C$22, $C$13, 100%, $E$13)</f>
        <v>13.6076</v>
      </c>
      <c r="C821" s="67">
        <f>13.6076 * CHOOSE(CONTROL!$C$22, $C$13, 100%, $E$13)</f>
        <v>13.6076</v>
      </c>
      <c r="D821" s="67">
        <f>13.6115 * CHOOSE(CONTROL!$C$22, $C$13, 100%, $E$13)</f>
        <v>13.611499999999999</v>
      </c>
      <c r="E821" s="68">
        <f>15.5035 * CHOOSE(CONTROL!$C$22, $C$13, 100%, $E$13)</f>
        <v>15.503500000000001</v>
      </c>
      <c r="F821" s="68">
        <f>15.5035 * CHOOSE(CONTROL!$C$22, $C$13, 100%, $E$13)</f>
        <v>15.503500000000001</v>
      </c>
      <c r="G821" s="68">
        <f>15.5083 * CHOOSE(CONTROL!$C$22, $C$13, 100%, $E$13)</f>
        <v>15.5083</v>
      </c>
      <c r="H821" s="68">
        <f>24.0339* CHOOSE(CONTROL!$C$22, $C$13, 100%, $E$13)</f>
        <v>24.033899999999999</v>
      </c>
      <c r="I821" s="68">
        <f>24.0386 * CHOOSE(CONTROL!$C$22, $C$13, 100%, $E$13)</f>
        <v>24.038599999999999</v>
      </c>
      <c r="J821" s="68">
        <f>15.5035 * CHOOSE(CONTROL!$C$22, $C$13, 100%, $E$13)</f>
        <v>15.503500000000001</v>
      </c>
      <c r="K821" s="68">
        <f>15.5083 * CHOOSE(CONTROL!$C$22, $C$13, 100%, $E$13)</f>
        <v>15.5083</v>
      </c>
    </row>
    <row r="822" spans="1:11" ht="15">
      <c r="A822" s="13">
        <v>66143</v>
      </c>
      <c r="B822" s="67">
        <f>13.6046 * CHOOSE(CONTROL!$C$22, $C$13, 100%, $E$13)</f>
        <v>13.6046</v>
      </c>
      <c r="C822" s="67">
        <f>13.6046 * CHOOSE(CONTROL!$C$22, $C$13, 100%, $E$13)</f>
        <v>13.6046</v>
      </c>
      <c r="D822" s="67">
        <f>13.6084 * CHOOSE(CONTROL!$C$22, $C$13, 100%, $E$13)</f>
        <v>13.6084</v>
      </c>
      <c r="E822" s="68">
        <f>15.2267 * CHOOSE(CONTROL!$C$22, $C$13, 100%, $E$13)</f>
        <v>15.226699999999999</v>
      </c>
      <c r="F822" s="68">
        <f>15.2267 * CHOOSE(CONTROL!$C$22, $C$13, 100%, $E$13)</f>
        <v>15.226699999999999</v>
      </c>
      <c r="G822" s="68">
        <f>15.2314 * CHOOSE(CONTROL!$C$22, $C$13, 100%, $E$13)</f>
        <v>15.231400000000001</v>
      </c>
      <c r="H822" s="68">
        <f>24.0839* CHOOSE(CONTROL!$C$22, $C$13, 100%, $E$13)</f>
        <v>24.0839</v>
      </c>
      <c r="I822" s="68">
        <f>24.0887 * CHOOSE(CONTROL!$C$22, $C$13, 100%, $E$13)</f>
        <v>24.088699999999999</v>
      </c>
      <c r="J822" s="68">
        <f>15.2267 * CHOOSE(CONTROL!$C$22, $C$13, 100%, $E$13)</f>
        <v>15.226699999999999</v>
      </c>
      <c r="K822" s="68">
        <f>15.2314 * CHOOSE(CONTROL!$C$22, $C$13, 100%, $E$13)</f>
        <v>15.231400000000001</v>
      </c>
    </row>
    <row r="823" spans="1:11" ht="15">
      <c r="A823" s="13">
        <v>66171</v>
      </c>
      <c r="B823" s="67">
        <f>13.6015 * CHOOSE(CONTROL!$C$22, $C$13, 100%, $E$13)</f>
        <v>13.6015</v>
      </c>
      <c r="C823" s="67">
        <f>13.6015 * CHOOSE(CONTROL!$C$22, $C$13, 100%, $E$13)</f>
        <v>13.6015</v>
      </c>
      <c r="D823" s="67">
        <f>13.6054 * CHOOSE(CONTROL!$C$22, $C$13, 100%, $E$13)</f>
        <v>13.605399999999999</v>
      </c>
      <c r="E823" s="68">
        <f>15.4411 * CHOOSE(CONTROL!$C$22, $C$13, 100%, $E$13)</f>
        <v>15.4411</v>
      </c>
      <c r="F823" s="68">
        <f>15.4411 * CHOOSE(CONTROL!$C$22, $C$13, 100%, $E$13)</f>
        <v>15.4411</v>
      </c>
      <c r="G823" s="68">
        <f>15.4459 * CHOOSE(CONTROL!$C$22, $C$13, 100%, $E$13)</f>
        <v>15.4459</v>
      </c>
      <c r="H823" s="68">
        <f>24.1341* CHOOSE(CONTROL!$C$22, $C$13, 100%, $E$13)</f>
        <v>24.1341</v>
      </c>
      <c r="I823" s="68">
        <f>24.1389 * CHOOSE(CONTROL!$C$22, $C$13, 100%, $E$13)</f>
        <v>24.1389</v>
      </c>
      <c r="J823" s="68">
        <f>15.4411 * CHOOSE(CONTROL!$C$22, $C$13, 100%, $E$13)</f>
        <v>15.4411</v>
      </c>
      <c r="K823" s="68">
        <f>15.4459 * CHOOSE(CONTROL!$C$22, $C$13, 100%, $E$13)</f>
        <v>15.4459</v>
      </c>
    </row>
    <row r="824" spans="1:11" ht="15">
      <c r="A824" s="13">
        <v>66202</v>
      </c>
      <c r="B824" s="67">
        <f>13.6072 * CHOOSE(CONTROL!$C$22, $C$13, 100%, $E$13)</f>
        <v>13.607200000000001</v>
      </c>
      <c r="C824" s="67">
        <f>13.6072 * CHOOSE(CONTROL!$C$22, $C$13, 100%, $E$13)</f>
        <v>13.607200000000001</v>
      </c>
      <c r="D824" s="67">
        <f>13.6111 * CHOOSE(CONTROL!$C$22, $C$13, 100%, $E$13)</f>
        <v>13.6111</v>
      </c>
      <c r="E824" s="68">
        <f>15.6695 * CHOOSE(CONTROL!$C$22, $C$13, 100%, $E$13)</f>
        <v>15.669499999999999</v>
      </c>
      <c r="F824" s="68">
        <f>15.6695 * CHOOSE(CONTROL!$C$22, $C$13, 100%, $E$13)</f>
        <v>15.669499999999999</v>
      </c>
      <c r="G824" s="68">
        <f>15.6742 * CHOOSE(CONTROL!$C$22, $C$13, 100%, $E$13)</f>
        <v>15.674200000000001</v>
      </c>
      <c r="H824" s="68">
        <f>24.1844* CHOOSE(CONTROL!$C$22, $C$13, 100%, $E$13)</f>
        <v>24.1844</v>
      </c>
      <c r="I824" s="68">
        <f>24.1892 * CHOOSE(CONTROL!$C$22, $C$13, 100%, $E$13)</f>
        <v>24.1892</v>
      </c>
      <c r="J824" s="68">
        <f>15.6695 * CHOOSE(CONTROL!$C$22, $C$13, 100%, $E$13)</f>
        <v>15.669499999999999</v>
      </c>
      <c r="K824" s="68">
        <f>15.6742 * CHOOSE(CONTROL!$C$22, $C$13, 100%, $E$13)</f>
        <v>15.674200000000001</v>
      </c>
    </row>
    <row r="825" spans="1:11" ht="15">
      <c r="A825" s="13">
        <v>66232</v>
      </c>
      <c r="B825" s="67">
        <f>13.6072 * CHOOSE(CONTROL!$C$22, $C$13, 100%, $E$13)</f>
        <v>13.607200000000001</v>
      </c>
      <c r="C825" s="67">
        <f>13.6072 * CHOOSE(CONTROL!$C$22, $C$13, 100%, $E$13)</f>
        <v>13.607200000000001</v>
      </c>
      <c r="D825" s="67">
        <f>13.6127 * CHOOSE(CONTROL!$C$22, $C$13, 100%, $E$13)</f>
        <v>13.6127</v>
      </c>
      <c r="E825" s="68">
        <f>15.7567 * CHOOSE(CONTROL!$C$22, $C$13, 100%, $E$13)</f>
        <v>15.7567</v>
      </c>
      <c r="F825" s="68">
        <f>15.7567 * CHOOSE(CONTROL!$C$22, $C$13, 100%, $E$13)</f>
        <v>15.7567</v>
      </c>
      <c r="G825" s="68">
        <f>15.7634 * CHOOSE(CONTROL!$C$22, $C$13, 100%, $E$13)</f>
        <v>15.763400000000001</v>
      </c>
      <c r="H825" s="68">
        <f>24.2348* CHOOSE(CONTROL!$C$22, $C$13, 100%, $E$13)</f>
        <v>24.2348</v>
      </c>
      <c r="I825" s="68">
        <f>24.2415 * CHOOSE(CONTROL!$C$22, $C$13, 100%, $E$13)</f>
        <v>24.241499999999998</v>
      </c>
      <c r="J825" s="68">
        <f>15.7567 * CHOOSE(CONTROL!$C$22, $C$13, 100%, $E$13)</f>
        <v>15.7567</v>
      </c>
      <c r="K825" s="68">
        <f>15.7634 * CHOOSE(CONTROL!$C$22, $C$13, 100%, $E$13)</f>
        <v>15.763400000000001</v>
      </c>
    </row>
    <row r="826" spans="1:11" ht="15">
      <c r="A826" s="13">
        <v>66263</v>
      </c>
      <c r="B826" s="67">
        <f>13.6133 * CHOOSE(CONTROL!$C$22, $C$13, 100%, $E$13)</f>
        <v>13.613300000000001</v>
      </c>
      <c r="C826" s="67">
        <f>13.6133 * CHOOSE(CONTROL!$C$22, $C$13, 100%, $E$13)</f>
        <v>13.613300000000001</v>
      </c>
      <c r="D826" s="67">
        <f>13.6188 * CHOOSE(CONTROL!$C$22, $C$13, 100%, $E$13)</f>
        <v>13.6188</v>
      </c>
      <c r="E826" s="68">
        <f>15.6737 * CHOOSE(CONTROL!$C$22, $C$13, 100%, $E$13)</f>
        <v>15.6737</v>
      </c>
      <c r="F826" s="68">
        <f>15.6737 * CHOOSE(CONTROL!$C$22, $C$13, 100%, $E$13)</f>
        <v>15.6737</v>
      </c>
      <c r="G826" s="68">
        <f>15.6805 * CHOOSE(CONTROL!$C$22, $C$13, 100%, $E$13)</f>
        <v>15.6805</v>
      </c>
      <c r="H826" s="68">
        <f>24.2853* CHOOSE(CONTROL!$C$22, $C$13, 100%, $E$13)</f>
        <v>24.285299999999999</v>
      </c>
      <c r="I826" s="68">
        <f>24.292 * CHOOSE(CONTROL!$C$22, $C$13, 100%, $E$13)</f>
        <v>24.292000000000002</v>
      </c>
      <c r="J826" s="68">
        <f>15.6737 * CHOOSE(CONTROL!$C$22, $C$13, 100%, $E$13)</f>
        <v>15.6737</v>
      </c>
      <c r="K826" s="68">
        <f>15.6805 * CHOOSE(CONTROL!$C$22, $C$13, 100%, $E$13)</f>
        <v>15.6805</v>
      </c>
    </row>
    <row r="827" spans="1:11" ht="15">
      <c r="A827" s="13">
        <v>66293</v>
      </c>
      <c r="B827" s="67">
        <f>13.8201 * CHOOSE(CONTROL!$C$22, $C$13, 100%, $E$13)</f>
        <v>13.8201</v>
      </c>
      <c r="C827" s="67">
        <f>13.8201 * CHOOSE(CONTROL!$C$22, $C$13, 100%, $E$13)</f>
        <v>13.8201</v>
      </c>
      <c r="D827" s="67">
        <f>13.8256 * CHOOSE(CONTROL!$C$22, $C$13, 100%, $E$13)</f>
        <v>13.8256</v>
      </c>
      <c r="E827" s="68">
        <f>15.9233 * CHOOSE(CONTROL!$C$22, $C$13, 100%, $E$13)</f>
        <v>15.923299999999999</v>
      </c>
      <c r="F827" s="68">
        <f>15.9233 * CHOOSE(CONTROL!$C$22, $C$13, 100%, $E$13)</f>
        <v>15.923299999999999</v>
      </c>
      <c r="G827" s="68">
        <f>15.9301 * CHOOSE(CONTROL!$C$22, $C$13, 100%, $E$13)</f>
        <v>15.930099999999999</v>
      </c>
      <c r="H827" s="68">
        <f>24.3359* CHOOSE(CONTROL!$C$22, $C$13, 100%, $E$13)</f>
        <v>24.335899999999999</v>
      </c>
      <c r="I827" s="68">
        <f>24.3426 * CHOOSE(CONTROL!$C$22, $C$13, 100%, $E$13)</f>
        <v>24.342600000000001</v>
      </c>
      <c r="J827" s="68">
        <f>15.9233 * CHOOSE(CONTROL!$C$22, $C$13, 100%, $E$13)</f>
        <v>15.923299999999999</v>
      </c>
      <c r="K827" s="68">
        <f>15.9301 * CHOOSE(CONTROL!$C$22, $C$13, 100%, $E$13)</f>
        <v>15.930099999999999</v>
      </c>
    </row>
    <row r="828" spans="1:11" ht="15">
      <c r="A828" s="13">
        <v>66324</v>
      </c>
      <c r="B828" s="67">
        <f>13.8268 * CHOOSE(CONTROL!$C$22, $C$13, 100%, $E$13)</f>
        <v>13.8268</v>
      </c>
      <c r="C828" s="67">
        <f>13.8268 * CHOOSE(CONTROL!$C$22, $C$13, 100%, $E$13)</f>
        <v>13.8268</v>
      </c>
      <c r="D828" s="67">
        <f>13.8323 * CHOOSE(CONTROL!$C$22, $C$13, 100%, $E$13)</f>
        <v>13.8323</v>
      </c>
      <c r="E828" s="68">
        <f>15.6663 * CHOOSE(CONTROL!$C$22, $C$13, 100%, $E$13)</f>
        <v>15.6663</v>
      </c>
      <c r="F828" s="68">
        <f>15.6663 * CHOOSE(CONTROL!$C$22, $C$13, 100%, $E$13)</f>
        <v>15.6663</v>
      </c>
      <c r="G828" s="68">
        <f>15.6731 * CHOOSE(CONTROL!$C$22, $C$13, 100%, $E$13)</f>
        <v>15.6731</v>
      </c>
      <c r="H828" s="68">
        <f>24.3866* CHOOSE(CONTROL!$C$22, $C$13, 100%, $E$13)</f>
        <v>24.386600000000001</v>
      </c>
      <c r="I828" s="68">
        <f>24.3933 * CHOOSE(CONTROL!$C$22, $C$13, 100%, $E$13)</f>
        <v>24.3933</v>
      </c>
      <c r="J828" s="68">
        <f>15.6663 * CHOOSE(CONTROL!$C$22, $C$13, 100%, $E$13)</f>
        <v>15.6663</v>
      </c>
      <c r="K828" s="68">
        <f>15.6731 * CHOOSE(CONTROL!$C$22, $C$13, 100%, $E$13)</f>
        <v>15.6731</v>
      </c>
    </row>
    <row r="829" spans="1:11" ht="15">
      <c r="A829" s="13">
        <v>66355</v>
      </c>
      <c r="B829" s="67">
        <f>13.8237 * CHOOSE(CONTROL!$C$22, $C$13, 100%, $E$13)</f>
        <v>13.823700000000001</v>
      </c>
      <c r="C829" s="67">
        <f>13.8237 * CHOOSE(CONTROL!$C$22, $C$13, 100%, $E$13)</f>
        <v>13.823700000000001</v>
      </c>
      <c r="D829" s="67">
        <f>13.8292 * CHOOSE(CONTROL!$C$22, $C$13, 100%, $E$13)</f>
        <v>13.8292</v>
      </c>
      <c r="E829" s="68">
        <f>15.6351 * CHOOSE(CONTROL!$C$22, $C$13, 100%, $E$13)</f>
        <v>15.6351</v>
      </c>
      <c r="F829" s="68">
        <f>15.6351 * CHOOSE(CONTROL!$C$22, $C$13, 100%, $E$13)</f>
        <v>15.6351</v>
      </c>
      <c r="G829" s="68">
        <f>15.6419 * CHOOSE(CONTROL!$C$22, $C$13, 100%, $E$13)</f>
        <v>15.6419</v>
      </c>
      <c r="H829" s="68">
        <f>24.4374* CHOOSE(CONTROL!$C$22, $C$13, 100%, $E$13)</f>
        <v>24.4374</v>
      </c>
      <c r="I829" s="68">
        <f>24.4441 * CHOOSE(CONTROL!$C$22, $C$13, 100%, $E$13)</f>
        <v>24.444099999999999</v>
      </c>
      <c r="J829" s="68">
        <f>15.6351 * CHOOSE(CONTROL!$C$22, $C$13, 100%, $E$13)</f>
        <v>15.6351</v>
      </c>
      <c r="K829" s="68">
        <f>15.6419 * CHOOSE(CONTROL!$C$22, $C$13, 100%, $E$13)</f>
        <v>15.6419</v>
      </c>
    </row>
    <row r="830" spans="1:11" ht="15">
      <c r="A830" s="13">
        <v>66385</v>
      </c>
      <c r="B830" s="67">
        <f>13.8504 * CHOOSE(CONTROL!$C$22, $C$13, 100%, $E$13)</f>
        <v>13.8504</v>
      </c>
      <c r="C830" s="67">
        <f>13.8504 * CHOOSE(CONTROL!$C$22, $C$13, 100%, $E$13)</f>
        <v>13.8504</v>
      </c>
      <c r="D830" s="67">
        <f>13.8543 * CHOOSE(CONTROL!$C$22, $C$13, 100%, $E$13)</f>
        <v>13.8543</v>
      </c>
      <c r="E830" s="68">
        <f>15.738 * CHOOSE(CONTROL!$C$22, $C$13, 100%, $E$13)</f>
        <v>15.738</v>
      </c>
      <c r="F830" s="68">
        <f>15.738 * CHOOSE(CONTROL!$C$22, $C$13, 100%, $E$13)</f>
        <v>15.738</v>
      </c>
      <c r="G830" s="68">
        <f>15.7428 * CHOOSE(CONTROL!$C$22, $C$13, 100%, $E$13)</f>
        <v>15.742800000000001</v>
      </c>
      <c r="H830" s="68">
        <f>24.4883* CHOOSE(CONTROL!$C$22, $C$13, 100%, $E$13)</f>
        <v>24.488299999999999</v>
      </c>
      <c r="I830" s="68">
        <f>24.493 * CHOOSE(CONTROL!$C$22, $C$13, 100%, $E$13)</f>
        <v>24.492999999999999</v>
      </c>
      <c r="J830" s="68">
        <f>15.738 * CHOOSE(CONTROL!$C$22, $C$13, 100%, $E$13)</f>
        <v>15.738</v>
      </c>
      <c r="K830" s="68">
        <f>15.7428 * CHOOSE(CONTROL!$C$22, $C$13, 100%, $E$13)</f>
        <v>15.742800000000001</v>
      </c>
    </row>
    <row r="831" spans="1:11" ht="15">
      <c r="A831" s="13">
        <v>66416</v>
      </c>
      <c r="B831" s="67">
        <f>13.8535 * CHOOSE(CONTROL!$C$22, $C$13, 100%, $E$13)</f>
        <v>13.8535</v>
      </c>
      <c r="C831" s="67">
        <f>13.8535 * CHOOSE(CONTROL!$C$22, $C$13, 100%, $E$13)</f>
        <v>13.8535</v>
      </c>
      <c r="D831" s="67">
        <f>13.8573 * CHOOSE(CONTROL!$C$22, $C$13, 100%, $E$13)</f>
        <v>13.8573</v>
      </c>
      <c r="E831" s="68">
        <f>15.7983 * CHOOSE(CONTROL!$C$22, $C$13, 100%, $E$13)</f>
        <v>15.798299999999999</v>
      </c>
      <c r="F831" s="68">
        <f>15.7983 * CHOOSE(CONTROL!$C$22, $C$13, 100%, $E$13)</f>
        <v>15.798299999999999</v>
      </c>
      <c r="G831" s="68">
        <f>15.8031 * CHOOSE(CONTROL!$C$22, $C$13, 100%, $E$13)</f>
        <v>15.803100000000001</v>
      </c>
      <c r="H831" s="68">
        <f>24.5393* CHOOSE(CONTROL!$C$22, $C$13, 100%, $E$13)</f>
        <v>24.539300000000001</v>
      </c>
      <c r="I831" s="68">
        <f>24.5441 * CHOOSE(CONTROL!$C$22, $C$13, 100%, $E$13)</f>
        <v>24.5441</v>
      </c>
      <c r="J831" s="68">
        <f>15.7983 * CHOOSE(CONTROL!$C$22, $C$13, 100%, $E$13)</f>
        <v>15.798299999999999</v>
      </c>
      <c r="K831" s="68">
        <f>15.8031 * CHOOSE(CONTROL!$C$22, $C$13, 100%, $E$13)</f>
        <v>15.803100000000001</v>
      </c>
    </row>
    <row r="832" spans="1:11" ht="15">
      <c r="A832" s="13">
        <v>66446</v>
      </c>
      <c r="B832" s="67">
        <f>13.8535 * CHOOSE(CONTROL!$C$22, $C$13, 100%, $E$13)</f>
        <v>13.8535</v>
      </c>
      <c r="C832" s="67">
        <f>13.8535 * CHOOSE(CONTROL!$C$22, $C$13, 100%, $E$13)</f>
        <v>13.8535</v>
      </c>
      <c r="D832" s="67">
        <f>13.8573 * CHOOSE(CONTROL!$C$22, $C$13, 100%, $E$13)</f>
        <v>13.8573</v>
      </c>
      <c r="E832" s="68">
        <f>15.6529 * CHOOSE(CONTROL!$C$22, $C$13, 100%, $E$13)</f>
        <v>15.652900000000001</v>
      </c>
      <c r="F832" s="68">
        <f>15.6529 * CHOOSE(CONTROL!$C$22, $C$13, 100%, $E$13)</f>
        <v>15.652900000000001</v>
      </c>
      <c r="G832" s="68">
        <f>15.6577 * CHOOSE(CONTROL!$C$22, $C$13, 100%, $E$13)</f>
        <v>15.6577</v>
      </c>
      <c r="H832" s="68">
        <f>24.5904* CHOOSE(CONTROL!$C$22, $C$13, 100%, $E$13)</f>
        <v>24.590399999999999</v>
      </c>
      <c r="I832" s="68">
        <f>24.5952 * CHOOSE(CONTROL!$C$22, $C$13, 100%, $E$13)</f>
        <v>24.595199999999998</v>
      </c>
      <c r="J832" s="68">
        <f>15.6529 * CHOOSE(CONTROL!$C$22, $C$13, 100%, $E$13)</f>
        <v>15.652900000000001</v>
      </c>
      <c r="K832" s="68">
        <f>15.6577 * CHOOSE(CONTROL!$C$22, $C$13, 100%, $E$13)</f>
        <v>15.6577</v>
      </c>
    </row>
    <row r="833" spans="1:11" ht="15">
      <c r="A833" s="13">
        <v>66477</v>
      </c>
      <c r="B833" s="67">
        <f>13.8432 * CHOOSE(CONTROL!$C$22, $C$13, 100%, $E$13)</f>
        <v>13.8432</v>
      </c>
      <c r="C833" s="67">
        <f>13.8432 * CHOOSE(CONTROL!$C$22, $C$13, 100%, $E$13)</f>
        <v>13.8432</v>
      </c>
      <c r="D833" s="67">
        <f>13.847 * CHOOSE(CONTROL!$C$22, $C$13, 100%, $E$13)</f>
        <v>13.847</v>
      </c>
      <c r="E833" s="68">
        <f>15.7582 * CHOOSE(CONTROL!$C$22, $C$13, 100%, $E$13)</f>
        <v>15.7582</v>
      </c>
      <c r="F833" s="68">
        <f>15.7582 * CHOOSE(CONTROL!$C$22, $C$13, 100%, $E$13)</f>
        <v>15.7582</v>
      </c>
      <c r="G833" s="68">
        <f>15.763 * CHOOSE(CONTROL!$C$22, $C$13, 100%, $E$13)</f>
        <v>15.763</v>
      </c>
      <c r="H833" s="68">
        <f>24.4375* CHOOSE(CONTROL!$C$22, $C$13, 100%, $E$13)</f>
        <v>24.4375</v>
      </c>
      <c r="I833" s="68">
        <f>24.4423 * CHOOSE(CONTROL!$C$22, $C$13, 100%, $E$13)</f>
        <v>24.442299999999999</v>
      </c>
      <c r="J833" s="68">
        <f>15.7582 * CHOOSE(CONTROL!$C$22, $C$13, 100%, $E$13)</f>
        <v>15.7582</v>
      </c>
      <c r="K833" s="68">
        <f>15.763 * CHOOSE(CONTROL!$C$22, $C$13, 100%, $E$13)</f>
        <v>15.763</v>
      </c>
    </row>
    <row r="834" spans="1:11" ht="15">
      <c r="A834" s="13">
        <v>66508</v>
      </c>
      <c r="B834" s="67">
        <f>13.8401 * CHOOSE(CONTROL!$C$22, $C$13, 100%, $E$13)</f>
        <v>13.8401</v>
      </c>
      <c r="C834" s="67">
        <f>13.8401 * CHOOSE(CONTROL!$C$22, $C$13, 100%, $E$13)</f>
        <v>13.8401</v>
      </c>
      <c r="D834" s="67">
        <f>13.844 * CHOOSE(CONTROL!$C$22, $C$13, 100%, $E$13)</f>
        <v>13.843999999999999</v>
      </c>
      <c r="E834" s="68">
        <f>15.4765 * CHOOSE(CONTROL!$C$22, $C$13, 100%, $E$13)</f>
        <v>15.4765</v>
      </c>
      <c r="F834" s="68">
        <f>15.4765 * CHOOSE(CONTROL!$C$22, $C$13, 100%, $E$13)</f>
        <v>15.4765</v>
      </c>
      <c r="G834" s="68">
        <f>15.4812 * CHOOSE(CONTROL!$C$22, $C$13, 100%, $E$13)</f>
        <v>15.481199999999999</v>
      </c>
      <c r="H834" s="68">
        <f>24.4884* CHOOSE(CONTROL!$C$22, $C$13, 100%, $E$13)</f>
        <v>24.488399999999999</v>
      </c>
      <c r="I834" s="68">
        <f>24.4932 * CHOOSE(CONTROL!$C$22, $C$13, 100%, $E$13)</f>
        <v>24.493200000000002</v>
      </c>
      <c r="J834" s="68">
        <f>15.4765 * CHOOSE(CONTROL!$C$22, $C$13, 100%, $E$13)</f>
        <v>15.4765</v>
      </c>
      <c r="K834" s="68">
        <f>15.4812 * CHOOSE(CONTROL!$C$22, $C$13, 100%, $E$13)</f>
        <v>15.481199999999999</v>
      </c>
    </row>
    <row r="835" spans="1:11" ht="15">
      <c r="A835" s="13">
        <v>66536</v>
      </c>
      <c r="B835" s="67">
        <f>13.8371 * CHOOSE(CONTROL!$C$22, $C$13, 100%, $E$13)</f>
        <v>13.8371</v>
      </c>
      <c r="C835" s="67">
        <f>13.8371 * CHOOSE(CONTROL!$C$22, $C$13, 100%, $E$13)</f>
        <v>13.8371</v>
      </c>
      <c r="D835" s="67">
        <f>13.841 * CHOOSE(CONTROL!$C$22, $C$13, 100%, $E$13)</f>
        <v>13.840999999999999</v>
      </c>
      <c r="E835" s="68">
        <f>15.6948 * CHOOSE(CONTROL!$C$22, $C$13, 100%, $E$13)</f>
        <v>15.694800000000001</v>
      </c>
      <c r="F835" s="68">
        <f>15.6948 * CHOOSE(CONTROL!$C$22, $C$13, 100%, $E$13)</f>
        <v>15.694800000000001</v>
      </c>
      <c r="G835" s="68">
        <f>15.6996 * CHOOSE(CONTROL!$C$22, $C$13, 100%, $E$13)</f>
        <v>15.6996</v>
      </c>
      <c r="H835" s="68">
        <f>24.5394* CHOOSE(CONTROL!$C$22, $C$13, 100%, $E$13)</f>
        <v>24.539400000000001</v>
      </c>
      <c r="I835" s="68">
        <f>24.5442 * CHOOSE(CONTROL!$C$22, $C$13, 100%, $E$13)</f>
        <v>24.5442</v>
      </c>
      <c r="J835" s="68">
        <f>15.6948 * CHOOSE(CONTROL!$C$22, $C$13, 100%, $E$13)</f>
        <v>15.694800000000001</v>
      </c>
      <c r="K835" s="68">
        <f>15.6996 * CHOOSE(CONTROL!$C$22, $C$13, 100%, $E$13)</f>
        <v>15.6996</v>
      </c>
    </row>
    <row r="836" spans="1:11" ht="15">
      <c r="A836" s="13">
        <v>66567</v>
      </c>
      <c r="B836" s="67">
        <f>13.843 * CHOOSE(CONTROL!$C$22, $C$13, 100%, $E$13)</f>
        <v>13.843</v>
      </c>
      <c r="C836" s="67">
        <f>13.843 * CHOOSE(CONTROL!$C$22, $C$13, 100%, $E$13)</f>
        <v>13.843</v>
      </c>
      <c r="D836" s="67">
        <f>13.8468 * CHOOSE(CONTROL!$C$22, $C$13, 100%, $E$13)</f>
        <v>13.8468</v>
      </c>
      <c r="E836" s="68">
        <f>15.9273 * CHOOSE(CONTROL!$C$22, $C$13, 100%, $E$13)</f>
        <v>15.927300000000001</v>
      </c>
      <c r="F836" s="68">
        <f>15.9273 * CHOOSE(CONTROL!$C$22, $C$13, 100%, $E$13)</f>
        <v>15.927300000000001</v>
      </c>
      <c r="G836" s="68">
        <f>15.9321 * CHOOSE(CONTROL!$C$22, $C$13, 100%, $E$13)</f>
        <v>15.9321</v>
      </c>
      <c r="H836" s="68">
        <f>24.5905* CHOOSE(CONTROL!$C$22, $C$13, 100%, $E$13)</f>
        <v>24.590499999999999</v>
      </c>
      <c r="I836" s="68">
        <f>24.5953 * CHOOSE(CONTROL!$C$22, $C$13, 100%, $E$13)</f>
        <v>24.595300000000002</v>
      </c>
      <c r="J836" s="68">
        <f>15.9273 * CHOOSE(CONTROL!$C$22, $C$13, 100%, $E$13)</f>
        <v>15.927300000000001</v>
      </c>
      <c r="K836" s="68">
        <f>15.9321 * CHOOSE(CONTROL!$C$22, $C$13, 100%, $E$13)</f>
        <v>15.9321</v>
      </c>
    </row>
    <row r="837" spans="1:11" ht="15">
      <c r="A837" s="13">
        <v>66597</v>
      </c>
      <c r="B837" s="67">
        <f>13.843 * CHOOSE(CONTROL!$C$22, $C$13, 100%, $E$13)</f>
        <v>13.843</v>
      </c>
      <c r="C837" s="67">
        <f>13.843 * CHOOSE(CONTROL!$C$22, $C$13, 100%, $E$13)</f>
        <v>13.843</v>
      </c>
      <c r="D837" s="67">
        <f>13.8485 * CHOOSE(CONTROL!$C$22, $C$13, 100%, $E$13)</f>
        <v>13.8485</v>
      </c>
      <c r="E837" s="68">
        <f>16.0161 * CHOOSE(CONTROL!$C$22, $C$13, 100%, $E$13)</f>
        <v>16.016100000000002</v>
      </c>
      <c r="F837" s="68">
        <f>16.0161 * CHOOSE(CONTROL!$C$22, $C$13, 100%, $E$13)</f>
        <v>16.016100000000002</v>
      </c>
      <c r="G837" s="68">
        <f>16.0229 * CHOOSE(CONTROL!$C$22, $C$13, 100%, $E$13)</f>
        <v>16.0229</v>
      </c>
      <c r="H837" s="68">
        <f>24.6418* CHOOSE(CONTROL!$C$22, $C$13, 100%, $E$13)</f>
        <v>24.6418</v>
      </c>
      <c r="I837" s="68">
        <f>24.6485 * CHOOSE(CONTROL!$C$22, $C$13, 100%, $E$13)</f>
        <v>24.648499999999999</v>
      </c>
      <c r="J837" s="68">
        <f>16.0161 * CHOOSE(CONTROL!$C$22, $C$13, 100%, $E$13)</f>
        <v>16.016100000000002</v>
      </c>
      <c r="K837" s="68">
        <f>16.0229 * CHOOSE(CONTROL!$C$22, $C$13, 100%, $E$13)</f>
        <v>16.0229</v>
      </c>
    </row>
    <row r="838" spans="1:11" ht="15">
      <c r="A838" s="13">
        <v>66628</v>
      </c>
      <c r="B838" s="67">
        <f>13.8491 * CHOOSE(CONTROL!$C$22, $C$13, 100%, $E$13)</f>
        <v>13.8491</v>
      </c>
      <c r="C838" s="67">
        <f>13.8491 * CHOOSE(CONTROL!$C$22, $C$13, 100%, $E$13)</f>
        <v>13.8491</v>
      </c>
      <c r="D838" s="67">
        <f>13.8546 * CHOOSE(CONTROL!$C$22, $C$13, 100%, $E$13)</f>
        <v>13.8546</v>
      </c>
      <c r="E838" s="68">
        <f>15.9316 * CHOOSE(CONTROL!$C$22, $C$13, 100%, $E$13)</f>
        <v>15.9316</v>
      </c>
      <c r="F838" s="68">
        <f>15.9316 * CHOOSE(CONTROL!$C$22, $C$13, 100%, $E$13)</f>
        <v>15.9316</v>
      </c>
      <c r="G838" s="68">
        <f>15.9383 * CHOOSE(CONTROL!$C$22, $C$13, 100%, $E$13)</f>
        <v>15.9383</v>
      </c>
      <c r="H838" s="68">
        <f>24.6931* CHOOSE(CONTROL!$C$22, $C$13, 100%, $E$13)</f>
        <v>24.693100000000001</v>
      </c>
      <c r="I838" s="68">
        <f>24.6999 * CHOOSE(CONTROL!$C$22, $C$13, 100%, $E$13)</f>
        <v>24.6999</v>
      </c>
      <c r="J838" s="68">
        <f>15.9316 * CHOOSE(CONTROL!$C$22, $C$13, 100%, $E$13)</f>
        <v>15.9316</v>
      </c>
      <c r="K838" s="68">
        <f>15.9383 * CHOOSE(CONTROL!$C$22, $C$13, 100%, $E$13)</f>
        <v>15.9383</v>
      </c>
    </row>
    <row r="839" spans="1:11" ht="15">
      <c r="A839" s="13">
        <v>66658</v>
      </c>
      <c r="B839" s="67">
        <f>14.0592 * CHOOSE(CONTROL!$C$22, $C$13, 100%, $E$13)</f>
        <v>14.059200000000001</v>
      </c>
      <c r="C839" s="67">
        <f>14.0592 * CHOOSE(CONTROL!$C$22, $C$13, 100%, $E$13)</f>
        <v>14.059200000000001</v>
      </c>
      <c r="D839" s="67">
        <f>14.0647 * CHOOSE(CONTROL!$C$22, $C$13, 100%, $E$13)</f>
        <v>14.0647</v>
      </c>
      <c r="E839" s="68">
        <f>16.1851 * CHOOSE(CONTROL!$C$22, $C$13, 100%, $E$13)</f>
        <v>16.185099999999998</v>
      </c>
      <c r="F839" s="68">
        <f>16.1851 * CHOOSE(CONTROL!$C$22, $C$13, 100%, $E$13)</f>
        <v>16.185099999999998</v>
      </c>
      <c r="G839" s="68">
        <f>16.1919 * CHOOSE(CONTROL!$C$22, $C$13, 100%, $E$13)</f>
        <v>16.1919</v>
      </c>
      <c r="H839" s="68">
        <f>24.7446* CHOOSE(CONTROL!$C$22, $C$13, 100%, $E$13)</f>
        <v>24.744599999999998</v>
      </c>
      <c r="I839" s="68">
        <f>24.7513 * CHOOSE(CONTROL!$C$22, $C$13, 100%, $E$13)</f>
        <v>24.751300000000001</v>
      </c>
      <c r="J839" s="68">
        <f>16.1851 * CHOOSE(CONTROL!$C$22, $C$13, 100%, $E$13)</f>
        <v>16.185099999999998</v>
      </c>
      <c r="K839" s="68">
        <f>16.1919 * CHOOSE(CONTROL!$C$22, $C$13, 100%, $E$13)</f>
        <v>16.1919</v>
      </c>
    </row>
    <row r="840" spans="1:11" ht="15">
      <c r="A840" s="13">
        <v>66689</v>
      </c>
      <c r="B840" s="67">
        <f>14.0659 * CHOOSE(CONTROL!$C$22, $C$13, 100%, $E$13)</f>
        <v>14.065899999999999</v>
      </c>
      <c r="C840" s="67">
        <f>14.0659 * CHOOSE(CONTROL!$C$22, $C$13, 100%, $E$13)</f>
        <v>14.065899999999999</v>
      </c>
      <c r="D840" s="67">
        <f>14.0714 * CHOOSE(CONTROL!$C$22, $C$13, 100%, $E$13)</f>
        <v>14.071400000000001</v>
      </c>
      <c r="E840" s="68">
        <f>15.9234 * CHOOSE(CONTROL!$C$22, $C$13, 100%, $E$13)</f>
        <v>15.923400000000001</v>
      </c>
      <c r="F840" s="68">
        <f>15.9234 * CHOOSE(CONTROL!$C$22, $C$13, 100%, $E$13)</f>
        <v>15.923400000000001</v>
      </c>
      <c r="G840" s="68">
        <f>15.9301 * CHOOSE(CONTROL!$C$22, $C$13, 100%, $E$13)</f>
        <v>15.930099999999999</v>
      </c>
      <c r="H840" s="68">
        <f>24.7961* CHOOSE(CONTROL!$C$22, $C$13, 100%, $E$13)</f>
        <v>24.796099999999999</v>
      </c>
      <c r="I840" s="68">
        <f>24.8028 * CHOOSE(CONTROL!$C$22, $C$13, 100%, $E$13)</f>
        <v>24.802800000000001</v>
      </c>
      <c r="J840" s="68">
        <f>15.9234 * CHOOSE(CONTROL!$C$22, $C$13, 100%, $E$13)</f>
        <v>15.923400000000001</v>
      </c>
      <c r="K840" s="68">
        <f>15.9301 * CHOOSE(CONTROL!$C$22, $C$13, 100%, $E$13)</f>
        <v>15.930099999999999</v>
      </c>
    </row>
    <row r="841" spans="1:11" ht="15">
      <c r="A841" s="13">
        <v>66720</v>
      </c>
      <c r="B841" s="67">
        <f>14.0629 * CHOOSE(CONTROL!$C$22, $C$13, 100%, $E$13)</f>
        <v>14.062900000000001</v>
      </c>
      <c r="C841" s="67">
        <f>14.0629 * CHOOSE(CONTROL!$C$22, $C$13, 100%, $E$13)</f>
        <v>14.062900000000001</v>
      </c>
      <c r="D841" s="67">
        <f>14.0684 * CHOOSE(CONTROL!$C$22, $C$13, 100%, $E$13)</f>
        <v>14.0684</v>
      </c>
      <c r="E841" s="68">
        <f>15.8917 * CHOOSE(CONTROL!$C$22, $C$13, 100%, $E$13)</f>
        <v>15.8917</v>
      </c>
      <c r="F841" s="68">
        <f>15.8917 * CHOOSE(CONTROL!$C$22, $C$13, 100%, $E$13)</f>
        <v>15.8917</v>
      </c>
      <c r="G841" s="68">
        <f>15.8984 * CHOOSE(CONTROL!$C$22, $C$13, 100%, $E$13)</f>
        <v>15.898400000000001</v>
      </c>
      <c r="H841" s="68">
        <f>24.8478* CHOOSE(CONTROL!$C$22, $C$13, 100%, $E$13)</f>
        <v>24.847799999999999</v>
      </c>
      <c r="I841" s="68">
        <f>24.8545 * CHOOSE(CONTROL!$C$22, $C$13, 100%, $E$13)</f>
        <v>24.854500000000002</v>
      </c>
      <c r="J841" s="68">
        <f>15.8917 * CHOOSE(CONTROL!$C$22, $C$13, 100%, $E$13)</f>
        <v>15.8917</v>
      </c>
      <c r="K841" s="68">
        <f>15.8984 * CHOOSE(CONTROL!$C$22, $C$13, 100%, $E$13)</f>
        <v>15.898400000000001</v>
      </c>
    </row>
    <row r="842" spans="1:11" ht="15">
      <c r="A842" s="13">
        <v>66750</v>
      </c>
      <c r="B842" s="67">
        <f>14.0904 * CHOOSE(CONTROL!$C$22, $C$13, 100%, $E$13)</f>
        <v>14.090400000000001</v>
      </c>
      <c r="C842" s="67">
        <f>14.0904 * CHOOSE(CONTROL!$C$22, $C$13, 100%, $E$13)</f>
        <v>14.090400000000001</v>
      </c>
      <c r="D842" s="67">
        <f>14.0942 * CHOOSE(CONTROL!$C$22, $C$13, 100%, $E$13)</f>
        <v>14.094200000000001</v>
      </c>
      <c r="E842" s="68">
        <f>15.9967 * CHOOSE(CONTROL!$C$22, $C$13, 100%, $E$13)</f>
        <v>15.996700000000001</v>
      </c>
      <c r="F842" s="68">
        <f>15.9967 * CHOOSE(CONTROL!$C$22, $C$13, 100%, $E$13)</f>
        <v>15.996700000000001</v>
      </c>
      <c r="G842" s="68">
        <f>16.0014 * CHOOSE(CONTROL!$C$22, $C$13, 100%, $E$13)</f>
        <v>16.0014</v>
      </c>
      <c r="H842" s="68">
        <f>24.8995* CHOOSE(CONTROL!$C$22, $C$13, 100%, $E$13)</f>
        <v>24.8995</v>
      </c>
      <c r="I842" s="68">
        <f>24.9043 * CHOOSE(CONTROL!$C$22, $C$13, 100%, $E$13)</f>
        <v>24.904299999999999</v>
      </c>
      <c r="J842" s="68">
        <f>15.9967 * CHOOSE(CONTROL!$C$22, $C$13, 100%, $E$13)</f>
        <v>15.996700000000001</v>
      </c>
      <c r="K842" s="68">
        <f>16.0014 * CHOOSE(CONTROL!$C$22, $C$13, 100%, $E$13)</f>
        <v>16.0014</v>
      </c>
    </row>
    <row r="843" spans="1:11" ht="15">
      <c r="A843" s="13">
        <v>66781</v>
      </c>
      <c r="B843" s="67">
        <f>14.0934 * CHOOSE(CONTROL!$C$22, $C$13, 100%, $E$13)</f>
        <v>14.093400000000001</v>
      </c>
      <c r="C843" s="67">
        <f>14.0934 * CHOOSE(CONTROL!$C$22, $C$13, 100%, $E$13)</f>
        <v>14.093400000000001</v>
      </c>
      <c r="D843" s="67">
        <f>14.0973 * CHOOSE(CONTROL!$C$22, $C$13, 100%, $E$13)</f>
        <v>14.097300000000001</v>
      </c>
      <c r="E843" s="68">
        <f>16.058 * CHOOSE(CONTROL!$C$22, $C$13, 100%, $E$13)</f>
        <v>16.058</v>
      </c>
      <c r="F843" s="68">
        <f>16.058 * CHOOSE(CONTROL!$C$22, $C$13, 100%, $E$13)</f>
        <v>16.058</v>
      </c>
      <c r="G843" s="68">
        <f>16.0627 * CHOOSE(CONTROL!$C$22, $C$13, 100%, $E$13)</f>
        <v>16.0627</v>
      </c>
      <c r="H843" s="68">
        <f>24.9514* CHOOSE(CONTROL!$C$22, $C$13, 100%, $E$13)</f>
        <v>24.9514</v>
      </c>
      <c r="I843" s="68">
        <f>24.9562 * CHOOSE(CONTROL!$C$22, $C$13, 100%, $E$13)</f>
        <v>24.956199999999999</v>
      </c>
      <c r="J843" s="68">
        <f>16.058 * CHOOSE(CONTROL!$C$22, $C$13, 100%, $E$13)</f>
        <v>16.058</v>
      </c>
      <c r="K843" s="68">
        <f>16.0627 * CHOOSE(CONTROL!$C$22, $C$13, 100%, $E$13)</f>
        <v>16.0627</v>
      </c>
    </row>
    <row r="844" spans="1:11" ht="15">
      <c r="A844" s="13">
        <v>66811</v>
      </c>
      <c r="B844" s="67">
        <f>14.0934 * CHOOSE(CONTROL!$C$22, $C$13, 100%, $E$13)</f>
        <v>14.093400000000001</v>
      </c>
      <c r="C844" s="67">
        <f>14.0934 * CHOOSE(CONTROL!$C$22, $C$13, 100%, $E$13)</f>
        <v>14.093400000000001</v>
      </c>
      <c r="D844" s="67">
        <f>14.0973 * CHOOSE(CONTROL!$C$22, $C$13, 100%, $E$13)</f>
        <v>14.097300000000001</v>
      </c>
      <c r="E844" s="68">
        <f>15.91 * CHOOSE(CONTROL!$C$22, $C$13, 100%, $E$13)</f>
        <v>15.91</v>
      </c>
      <c r="F844" s="68">
        <f>15.91 * CHOOSE(CONTROL!$C$22, $C$13, 100%, $E$13)</f>
        <v>15.91</v>
      </c>
      <c r="G844" s="68">
        <f>15.9148 * CHOOSE(CONTROL!$C$22, $C$13, 100%, $E$13)</f>
        <v>15.9148</v>
      </c>
      <c r="H844" s="68">
        <f>25.0034* CHOOSE(CONTROL!$C$22, $C$13, 100%, $E$13)</f>
        <v>25.003399999999999</v>
      </c>
      <c r="I844" s="68">
        <f>25.0082 * CHOOSE(CONTROL!$C$22, $C$13, 100%, $E$13)</f>
        <v>25.008199999999999</v>
      </c>
      <c r="J844" s="68">
        <f>15.91 * CHOOSE(CONTROL!$C$22, $C$13, 100%, $E$13)</f>
        <v>15.91</v>
      </c>
      <c r="K844" s="68">
        <f>15.9148 * CHOOSE(CONTROL!$C$22, $C$13, 100%, $E$13)</f>
        <v>15.9148</v>
      </c>
    </row>
    <row r="845" spans="1:11" ht="15">
      <c r="A845" s="13">
        <v>66842</v>
      </c>
      <c r="B845" s="67">
        <f>14.0787 * CHOOSE(CONTROL!$C$22, $C$13, 100%, $E$13)</f>
        <v>14.0787</v>
      </c>
      <c r="C845" s="67">
        <f>14.0787 * CHOOSE(CONTROL!$C$22, $C$13, 100%, $E$13)</f>
        <v>14.0787</v>
      </c>
      <c r="D845" s="67">
        <f>14.0826 * CHOOSE(CONTROL!$C$22, $C$13, 100%, $E$13)</f>
        <v>14.082599999999999</v>
      </c>
      <c r="E845" s="68">
        <f>16.013 * CHOOSE(CONTROL!$C$22, $C$13, 100%, $E$13)</f>
        <v>16.013000000000002</v>
      </c>
      <c r="F845" s="68">
        <f>16.013 * CHOOSE(CONTROL!$C$22, $C$13, 100%, $E$13)</f>
        <v>16.013000000000002</v>
      </c>
      <c r="G845" s="68">
        <f>16.0177 * CHOOSE(CONTROL!$C$22, $C$13, 100%, $E$13)</f>
        <v>16.017700000000001</v>
      </c>
      <c r="H845" s="68">
        <f>24.8411* CHOOSE(CONTROL!$C$22, $C$13, 100%, $E$13)</f>
        <v>24.841100000000001</v>
      </c>
      <c r="I845" s="68">
        <f>24.8459 * CHOOSE(CONTROL!$C$22, $C$13, 100%, $E$13)</f>
        <v>24.8459</v>
      </c>
      <c r="J845" s="68">
        <f>16.013 * CHOOSE(CONTROL!$C$22, $C$13, 100%, $E$13)</f>
        <v>16.013000000000002</v>
      </c>
      <c r="K845" s="68">
        <f>16.0177 * CHOOSE(CONTROL!$C$22, $C$13, 100%, $E$13)</f>
        <v>16.017700000000001</v>
      </c>
    </row>
    <row r="846" spans="1:11" ht="15">
      <c r="A846" s="13">
        <v>66873</v>
      </c>
      <c r="B846" s="67">
        <f>14.0757 * CHOOSE(CONTROL!$C$22, $C$13, 100%, $E$13)</f>
        <v>14.075699999999999</v>
      </c>
      <c r="C846" s="67">
        <f>14.0757 * CHOOSE(CONTROL!$C$22, $C$13, 100%, $E$13)</f>
        <v>14.075699999999999</v>
      </c>
      <c r="D846" s="67">
        <f>14.0796 * CHOOSE(CONTROL!$C$22, $C$13, 100%, $E$13)</f>
        <v>14.079599999999999</v>
      </c>
      <c r="E846" s="68">
        <f>15.7262 * CHOOSE(CONTROL!$C$22, $C$13, 100%, $E$13)</f>
        <v>15.7262</v>
      </c>
      <c r="F846" s="68">
        <f>15.7262 * CHOOSE(CONTROL!$C$22, $C$13, 100%, $E$13)</f>
        <v>15.7262</v>
      </c>
      <c r="G846" s="68">
        <f>15.731 * CHOOSE(CONTROL!$C$22, $C$13, 100%, $E$13)</f>
        <v>15.731</v>
      </c>
      <c r="H846" s="68">
        <f>24.8929* CHOOSE(CONTROL!$C$22, $C$13, 100%, $E$13)</f>
        <v>24.892900000000001</v>
      </c>
      <c r="I846" s="68">
        <f>24.8976 * CHOOSE(CONTROL!$C$22, $C$13, 100%, $E$13)</f>
        <v>24.897600000000001</v>
      </c>
      <c r="J846" s="68">
        <f>15.7262 * CHOOSE(CONTROL!$C$22, $C$13, 100%, $E$13)</f>
        <v>15.7262</v>
      </c>
      <c r="K846" s="68">
        <f>15.731 * CHOOSE(CONTROL!$C$22, $C$13, 100%, $E$13)</f>
        <v>15.731</v>
      </c>
    </row>
    <row r="847" spans="1:11" ht="15">
      <c r="A847" s="13">
        <v>66901</v>
      </c>
      <c r="B847" s="67">
        <f>14.0727 * CHOOSE(CONTROL!$C$22, $C$13, 100%, $E$13)</f>
        <v>14.072699999999999</v>
      </c>
      <c r="C847" s="67">
        <f>14.0727 * CHOOSE(CONTROL!$C$22, $C$13, 100%, $E$13)</f>
        <v>14.072699999999999</v>
      </c>
      <c r="D847" s="67">
        <f>14.0765 * CHOOSE(CONTROL!$C$22, $C$13, 100%, $E$13)</f>
        <v>14.076499999999999</v>
      </c>
      <c r="E847" s="68">
        <f>15.9485 * CHOOSE(CONTROL!$C$22, $C$13, 100%, $E$13)</f>
        <v>15.948499999999999</v>
      </c>
      <c r="F847" s="68">
        <f>15.9485 * CHOOSE(CONTROL!$C$22, $C$13, 100%, $E$13)</f>
        <v>15.948499999999999</v>
      </c>
      <c r="G847" s="68">
        <f>15.9533 * CHOOSE(CONTROL!$C$22, $C$13, 100%, $E$13)</f>
        <v>15.9533</v>
      </c>
      <c r="H847" s="68">
        <f>24.9447* CHOOSE(CONTROL!$C$22, $C$13, 100%, $E$13)</f>
        <v>24.944700000000001</v>
      </c>
      <c r="I847" s="68">
        <f>24.9495 * CHOOSE(CONTROL!$C$22, $C$13, 100%, $E$13)</f>
        <v>24.9495</v>
      </c>
      <c r="J847" s="68">
        <f>15.9485 * CHOOSE(CONTROL!$C$22, $C$13, 100%, $E$13)</f>
        <v>15.948499999999999</v>
      </c>
      <c r="K847" s="68">
        <f>15.9533 * CHOOSE(CONTROL!$C$22, $C$13, 100%, $E$13)</f>
        <v>15.9533</v>
      </c>
    </row>
    <row r="848" spans="1:11" ht="15">
      <c r="A848" s="13">
        <v>66932</v>
      </c>
      <c r="B848" s="67">
        <f>14.0787 * CHOOSE(CONTROL!$C$22, $C$13, 100%, $E$13)</f>
        <v>14.0787</v>
      </c>
      <c r="C848" s="67">
        <f>14.0787 * CHOOSE(CONTROL!$C$22, $C$13, 100%, $E$13)</f>
        <v>14.0787</v>
      </c>
      <c r="D848" s="67">
        <f>14.0826 * CHOOSE(CONTROL!$C$22, $C$13, 100%, $E$13)</f>
        <v>14.082599999999999</v>
      </c>
      <c r="E848" s="68">
        <f>16.1852 * CHOOSE(CONTROL!$C$22, $C$13, 100%, $E$13)</f>
        <v>16.185199999999998</v>
      </c>
      <c r="F848" s="68">
        <f>16.1852 * CHOOSE(CONTROL!$C$22, $C$13, 100%, $E$13)</f>
        <v>16.185199999999998</v>
      </c>
      <c r="G848" s="68">
        <f>16.19 * CHOOSE(CONTROL!$C$22, $C$13, 100%, $E$13)</f>
        <v>16.190000000000001</v>
      </c>
      <c r="H848" s="68">
        <f>24.9967* CHOOSE(CONTROL!$C$22, $C$13, 100%, $E$13)</f>
        <v>24.996700000000001</v>
      </c>
      <c r="I848" s="68">
        <f>25.0015 * CHOOSE(CONTROL!$C$22, $C$13, 100%, $E$13)</f>
        <v>25.0015</v>
      </c>
      <c r="J848" s="68">
        <f>16.1852 * CHOOSE(CONTROL!$C$22, $C$13, 100%, $E$13)</f>
        <v>16.185199999999998</v>
      </c>
      <c r="K848" s="68">
        <f>16.19 * CHOOSE(CONTROL!$C$22, $C$13, 100%, $E$13)</f>
        <v>16.190000000000001</v>
      </c>
    </row>
    <row r="849" spans="1:11" ht="15">
      <c r="A849" s="13">
        <v>66962</v>
      </c>
      <c r="B849" s="67">
        <f>14.0787 * CHOOSE(CONTROL!$C$22, $C$13, 100%, $E$13)</f>
        <v>14.0787</v>
      </c>
      <c r="C849" s="67">
        <f>14.0787 * CHOOSE(CONTROL!$C$22, $C$13, 100%, $E$13)</f>
        <v>14.0787</v>
      </c>
      <c r="D849" s="67">
        <f>14.0843 * CHOOSE(CONTROL!$C$22, $C$13, 100%, $E$13)</f>
        <v>14.084300000000001</v>
      </c>
      <c r="E849" s="68">
        <f>16.2756 * CHOOSE(CONTROL!$C$22, $C$13, 100%, $E$13)</f>
        <v>16.275600000000001</v>
      </c>
      <c r="F849" s="68">
        <f>16.2756 * CHOOSE(CONTROL!$C$22, $C$13, 100%, $E$13)</f>
        <v>16.275600000000001</v>
      </c>
      <c r="G849" s="68">
        <f>16.2823 * CHOOSE(CONTROL!$C$22, $C$13, 100%, $E$13)</f>
        <v>16.282299999999999</v>
      </c>
      <c r="H849" s="68">
        <f>25.0488* CHOOSE(CONTROL!$C$22, $C$13, 100%, $E$13)</f>
        <v>25.0488</v>
      </c>
      <c r="I849" s="68">
        <f>25.0555 * CHOOSE(CONTROL!$C$22, $C$13, 100%, $E$13)</f>
        <v>25.055499999999999</v>
      </c>
      <c r="J849" s="68">
        <f>16.2756 * CHOOSE(CONTROL!$C$22, $C$13, 100%, $E$13)</f>
        <v>16.275600000000001</v>
      </c>
      <c r="K849" s="68">
        <f>16.2823 * CHOOSE(CONTROL!$C$22, $C$13, 100%, $E$13)</f>
        <v>16.282299999999999</v>
      </c>
    </row>
    <row r="850" spans="1:11" ht="15">
      <c r="A850" s="13">
        <v>66993</v>
      </c>
      <c r="B850" s="67">
        <f>14.0848 * CHOOSE(CONTROL!$C$22, $C$13, 100%, $E$13)</f>
        <v>14.0848</v>
      </c>
      <c r="C850" s="67">
        <f>14.0848 * CHOOSE(CONTROL!$C$22, $C$13, 100%, $E$13)</f>
        <v>14.0848</v>
      </c>
      <c r="D850" s="67">
        <f>14.0903 * CHOOSE(CONTROL!$C$22, $C$13, 100%, $E$13)</f>
        <v>14.090299999999999</v>
      </c>
      <c r="E850" s="68">
        <f>16.1894 * CHOOSE(CONTROL!$C$22, $C$13, 100%, $E$13)</f>
        <v>16.189399999999999</v>
      </c>
      <c r="F850" s="68">
        <f>16.1894 * CHOOSE(CONTROL!$C$22, $C$13, 100%, $E$13)</f>
        <v>16.189399999999999</v>
      </c>
      <c r="G850" s="68">
        <f>16.1962 * CHOOSE(CONTROL!$C$22, $C$13, 100%, $E$13)</f>
        <v>16.196200000000001</v>
      </c>
      <c r="H850" s="68">
        <f>25.101* CHOOSE(CONTROL!$C$22, $C$13, 100%, $E$13)</f>
        <v>25.100999999999999</v>
      </c>
      <c r="I850" s="68">
        <f>25.1077 * CHOOSE(CONTROL!$C$22, $C$13, 100%, $E$13)</f>
        <v>25.107700000000001</v>
      </c>
      <c r="J850" s="68">
        <f>16.1894 * CHOOSE(CONTROL!$C$22, $C$13, 100%, $E$13)</f>
        <v>16.189399999999999</v>
      </c>
      <c r="K850" s="68">
        <f>16.1962 * CHOOSE(CONTROL!$C$22, $C$13, 100%, $E$13)</f>
        <v>16.196200000000001</v>
      </c>
    </row>
    <row r="851" spans="1:11" ht="15">
      <c r="A851" s="13">
        <v>67023</v>
      </c>
      <c r="B851" s="67">
        <f>14.2984 * CHOOSE(CONTROL!$C$22, $C$13, 100%, $E$13)</f>
        <v>14.298400000000001</v>
      </c>
      <c r="C851" s="67">
        <f>14.2984 * CHOOSE(CONTROL!$C$22, $C$13, 100%, $E$13)</f>
        <v>14.298400000000001</v>
      </c>
      <c r="D851" s="67">
        <f>14.3039 * CHOOSE(CONTROL!$C$22, $C$13, 100%, $E$13)</f>
        <v>14.303900000000001</v>
      </c>
      <c r="E851" s="68">
        <f>16.4469 * CHOOSE(CONTROL!$C$22, $C$13, 100%, $E$13)</f>
        <v>16.446899999999999</v>
      </c>
      <c r="F851" s="68">
        <f>16.4469 * CHOOSE(CONTROL!$C$22, $C$13, 100%, $E$13)</f>
        <v>16.446899999999999</v>
      </c>
      <c r="G851" s="68">
        <f>16.4536 * CHOOSE(CONTROL!$C$22, $C$13, 100%, $E$13)</f>
        <v>16.453600000000002</v>
      </c>
      <c r="H851" s="68">
        <f>25.1533* CHOOSE(CONTROL!$C$22, $C$13, 100%, $E$13)</f>
        <v>25.153300000000002</v>
      </c>
      <c r="I851" s="68">
        <f>25.16 * CHOOSE(CONTROL!$C$22, $C$13, 100%, $E$13)</f>
        <v>25.16</v>
      </c>
      <c r="J851" s="68">
        <f>16.4469 * CHOOSE(CONTROL!$C$22, $C$13, 100%, $E$13)</f>
        <v>16.446899999999999</v>
      </c>
      <c r="K851" s="68">
        <f>16.4536 * CHOOSE(CONTROL!$C$22, $C$13, 100%, $E$13)</f>
        <v>16.453600000000002</v>
      </c>
    </row>
    <row r="852" spans="1:11" ht="15">
      <c r="A852" s="13">
        <v>67054</v>
      </c>
      <c r="B852" s="67">
        <f>14.3051 * CHOOSE(CONTROL!$C$22, $C$13, 100%, $E$13)</f>
        <v>14.305099999999999</v>
      </c>
      <c r="C852" s="67">
        <f>14.3051 * CHOOSE(CONTROL!$C$22, $C$13, 100%, $E$13)</f>
        <v>14.305099999999999</v>
      </c>
      <c r="D852" s="67">
        <f>14.3106 * CHOOSE(CONTROL!$C$22, $C$13, 100%, $E$13)</f>
        <v>14.310600000000001</v>
      </c>
      <c r="E852" s="68">
        <f>16.1805 * CHOOSE(CONTROL!$C$22, $C$13, 100%, $E$13)</f>
        <v>16.180499999999999</v>
      </c>
      <c r="F852" s="68">
        <f>16.1805 * CHOOSE(CONTROL!$C$22, $C$13, 100%, $E$13)</f>
        <v>16.180499999999999</v>
      </c>
      <c r="G852" s="68">
        <f>16.1872 * CHOOSE(CONTROL!$C$22, $C$13, 100%, $E$13)</f>
        <v>16.187200000000001</v>
      </c>
      <c r="H852" s="68">
        <f>25.2057* CHOOSE(CONTROL!$C$22, $C$13, 100%, $E$13)</f>
        <v>25.2057</v>
      </c>
      <c r="I852" s="68">
        <f>25.2124 * CHOOSE(CONTROL!$C$22, $C$13, 100%, $E$13)</f>
        <v>25.212399999999999</v>
      </c>
      <c r="J852" s="68">
        <f>16.1805 * CHOOSE(CONTROL!$C$22, $C$13, 100%, $E$13)</f>
        <v>16.180499999999999</v>
      </c>
      <c r="K852" s="68">
        <f>16.1872 * CHOOSE(CONTROL!$C$22, $C$13, 100%, $E$13)</f>
        <v>16.187200000000001</v>
      </c>
    </row>
    <row r="853" spans="1:11" ht="15">
      <c r="A853" s="13">
        <v>67085</v>
      </c>
      <c r="B853" s="67">
        <f>14.3021 * CHOOSE(CONTROL!$C$22, $C$13, 100%, $E$13)</f>
        <v>14.302099999999999</v>
      </c>
      <c r="C853" s="67">
        <f>14.3021 * CHOOSE(CONTROL!$C$22, $C$13, 100%, $E$13)</f>
        <v>14.302099999999999</v>
      </c>
      <c r="D853" s="67">
        <f>14.3076 * CHOOSE(CONTROL!$C$22, $C$13, 100%, $E$13)</f>
        <v>14.307600000000001</v>
      </c>
      <c r="E853" s="68">
        <f>16.1482 * CHOOSE(CONTROL!$C$22, $C$13, 100%, $E$13)</f>
        <v>16.148199999999999</v>
      </c>
      <c r="F853" s="68">
        <f>16.1482 * CHOOSE(CONTROL!$C$22, $C$13, 100%, $E$13)</f>
        <v>16.148199999999999</v>
      </c>
      <c r="G853" s="68">
        <f>16.155 * CHOOSE(CONTROL!$C$22, $C$13, 100%, $E$13)</f>
        <v>16.155000000000001</v>
      </c>
      <c r="H853" s="68">
        <f>25.2582* CHOOSE(CONTROL!$C$22, $C$13, 100%, $E$13)</f>
        <v>25.258199999999999</v>
      </c>
      <c r="I853" s="68">
        <f>25.2649 * CHOOSE(CONTROL!$C$22, $C$13, 100%, $E$13)</f>
        <v>25.264900000000001</v>
      </c>
      <c r="J853" s="68">
        <f>16.1482 * CHOOSE(CONTROL!$C$22, $C$13, 100%, $E$13)</f>
        <v>16.148199999999999</v>
      </c>
      <c r="K853" s="68">
        <f>16.155 * CHOOSE(CONTROL!$C$22, $C$13, 100%, $E$13)</f>
        <v>16.155000000000001</v>
      </c>
    </row>
    <row r="854" spans="1:11" ht="15">
      <c r="A854" s="13">
        <v>67115</v>
      </c>
      <c r="B854" s="67">
        <f>14.3303 * CHOOSE(CONTROL!$C$22, $C$13, 100%, $E$13)</f>
        <v>14.330299999999999</v>
      </c>
      <c r="C854" s="67">
        <f>14.3303 * CHOOSE(CONTROL!$C$22, $C$13, 100%, $E$13)</f>
        <v>14.330299999999999</v>
      </c>
      <c r="D854" s="67">
        <f>14.3342 * CHOOSE(CONTROL!$C$22, $C$13, 100%, $E$13)</f>
        <v>14.334199999999999</v>
      </c>
      <c r="E854" s="68">
        <f>16.2553 * CHOOSE(CONTROL!$C$22, $C$13, 100%, $E$13)</f>
        <v>16.255299999999998</v>
      </c>
      <c r="F854" s="68">
        <f>16.2553 * CHOOSE(CONTROL!$C$22, $C$13, 100%, $E$13)</f>
        <v>16.255299999999998</v>
      </c>
      <c r="G854" s="68">
        <f>16.2601 * CHOOSE(CONTROL!$C$22, $C$13, 100%, $E$13)</f>
        <v>16.260100000000001</v>
      </c>
      <c r="H854" s="68">
        <f>25.3108* CHOOSE(CONTROL!$C$22, $C$13, 100%, $E$13)</f>
        <v>25.3108</v>
      </c>
      <c r="I854" s="68">
        <f>25.3156 * CHOOSE(CONTROL!$C$22, $C$13, 100%, $E$13)</f>
        <v>25.3156</v>
      </c>
      <c r="J854" s="68">
        <f>16.2553 * CHOOSE(CONTROL!$C$22, $C$13, 100%, $E$13)</f>
        <v>16.255299999999998</v>
      </c>
      <c r="K854" s="68">
        <f>16.2601 * CHOOSE(CONTROL!$C$22, $C$13, 100%, $E$13)</f>
        <v>16.260100000000001</v>
      </c>
    </row>
    <row r="855" spans="1:11" ht="15">
      <c r="A855" s="13">
        <v>67146</v>
      </c>
      <c r="B855" s="67">
        <f>14.3333 * CHOOSE(CONTROL!$C$22, $C$13, 100%, $E$13)</f>
        <v>14.333299999999999</v>
      </c>
      <c r="C855" s="67">
        <f>14.3333 * CHOOSE(CONTROL!$C$22, $C$13, 100%, $E$13)</f>
        <v>14.333299999999999</v>
      </c>
      <c r="D855" s="67">
        <f>14.3372 * CHOOSE(CONTROL!$C$22, $C$13, 100%, $E$13)</f>
        <v>14.337199999999999</v>
      </c>
      <c r="E855" s="68">
        <f>16.3177 * CHOOSE(CONTROL!$C$22, $C$13, 100%, $E$13)</f>
        <v>16.317699999999999</v>
      </c>
      <c r="F855" s="68">
        <f>16.3177 * CHOOSE(CONTROL!$C$22, $C$13, 100%, $E$13)</f>
        <v>16.317699999999999</v>
      </c>
      <c r="G855" s="68">
        <f>16.3224 * CHOOSE(CONTROL!$C$22, $C$13, 100%, $E$13)</f>
        <v>16.322399999999998</v>
      </c>
      <c r="H855" s="68">
        <f>25.3635* CHOOSE(CONTROL!$C$22, $C$13, 100%, $E$13)</f>
        <v>25.363499999999998</v>
      </c>
      <c r="I855" s="68">
        <f>25.3683 * CHOOSE(CONTROL!$C$22, $C$13, 100%, $E$13)</f>
        <v>25.368300000000001</v>
      </c>
      <c r="J855" s="68">
        <f>16.3177 * CHOOSE(CONTROL!$C$22, $C$13, 100%, $E$13)</f>
        <v>16.317699999999999</v>
      </c>
      <c r="K855" s="68">
        <f>16.3224 * CHOOSE(CONTROL!$C$22, $C$13, 100%, $E$13)</f>
        <v>16.322399999999998</v>
      </c>
    </row>
    <row r="856" spans="1:11" ht="15">
      <c r="A856" s="13">
        <v>67176</v>
      </c>
      <c r="B856" s="67">
        <f>14.3333 * CHOOSE(CONTROL!$C$22, $C$13, 100%, $E$13)</f>
        <v>14.333299999999999</v>
      </c>
      <c r="C856" s="67">
        <f>14.3333 * CHOOSE(CONTROL!$C$22, $C$13, 100%, $E$13)</f>
        <v>14.333299999999999</v>
      </c>
      <c r="D856" s="67">
        <f>14.3372 * CHOOSE(CONTROL!$C$22, $C$13, 100%, $E$13)</f>
        <v>14.337199999999999</v>
      </c>
      <c r="E856" s="68">
        <f>16.1671 * CHOOSE(CONTROL!$C$22, $C$13, 100%, $E$13)</f>
        <v>16.167100000000001</v>
      </c>
      <c r="F856" s="68">
        <f>16.1671 * CHOOSE(CONTROL!$C$22, $C$13, 100%, $E$13)</f>
        <v>16.167100000000001</v>
      </c>
      <c r="G856" s="68">
        <f>16.1718 * CHOOSE(CONTROL!$C$22, $C$13, 100%, $E$13)</f>
        <v>16.171800000000001</v>
      </c>
      <c r="H856" s="68">
        <f>25.4164* CHOOSE(CONTROL!$C$22, $C$13, 100%, $E$13)</f>
        <v>25.416399999999999</v>
      </c>
      <c r="I856" s="68">
        <f>25.4211 * CHOOSE(CONTROL!$C$22, $C$13, 100%, $E$13)</f>
        <v>25.421099999999999</v>
      </c>
      <c r="J856" s="68">
        <f>16.1671 * CHOOSE(CONTROL!$C$22, $C$13, 100%, $E$13)</f>
        <v>16.167100000000001</v>
      </c>
      <c r="K856" s="68">
        <f>16.1718 * CHOOSE(CONTROL!$C$22, $C$13, 100%, $E$13)</f>
        <v>16.171800000000001</v>
      </c>
    </row>
    <row r="857" spans="1:11" ht="15">
      <c r="A857" s="13">
        <v>67207</v>
      </c>
      <c r="B857" s="67">
        <f>14.3143 * CHOOSE(CONTROL!$C$22, $C$13, 100%, $E$13)</f>
        <v>14.314299999999999</v>
      </c>
      <c r="C857" s="67">
        <f>14.3143 * CHOOSE(CONTROL!$C$22, $C$13, 100%, $E$13)</f>
        <v>14.314299999999999</v>
      </c>
      <c r="D857" s="67">
        <f>14.3182 * CHOOSE(CONTROL!$C$22, $C$13, 100%, $E$13)</f>
        <v>14.318199999999999</v>
      </c>
      <c r="E857" s="68">
        <f>16.2677 * CHOOSE(CONTROL!$C$22, $C$13, 100%, $E$13)</f>
        <v>16.267700000000001</v>
      </c>
      <c r="F857" s="68">
        <f>16.2677 * CHOOSE(CONTROL!$C$22, $C$13, 100%, $E$13)</f>
        <v>16.267700000000001</v>
      </c>
      <c r="G857" s="68">
        <f>16.2725 * CHOOSE(CONTROL!$C$22, $C$13, 100%, $E$13)</f>
        <v>16.272500000000001</v>
      </c>
      <c r="H857" s="68">
        <f>25.2448* CHOOSE(CONTROL!$C$22, $C$13, 100%, $E$13)</f>
        <v>25.244800000000001</v>
      </c>
      <c r="I857" s="68">
        <f>25.2495 * CHOOSE(CONTROL!$C$22, $C$13, 100%, $E$13)</f>
        <v>25.249500000000001</v>
      </c>
      <c r="J857" s="68">
        <f>16.2677 * CHOOSE(CONTROL!$C$22, $C$13, 100%, $E$13)</f>
        <v>16.267700000000001</v>
      </c>
      <c r="K857" s="68">
        <f>16.2725 * CHOOSE(CONTROL!$C$22, $C$13, 100%, $E$13)</f>
        <v>16.272500000000001</v>
      </c>
    </row>
    <row r="858" spans="1:11" ht="15">
      <c r="A858" s="13">
        <v>67238</v>
      </c>
      <c r="B858" s="67">
        <f>14.3113 * CHOOSE(CONTROL!$C$22, $C$13, 100%, $E$13)</f>
        <v>14.311299999999999</v>
      </c>
      <c r="C858" s="67">
        <f>14.3113 * CHOOSE(CONTROL!$C$22, $C$13, 100%, $E$13)</f>
        <v>14.311299999999999</v>
      </c>
      <c r="D858" s="67">
        <f>14.3151 * CHOOSE(CONTROL!$C$22, $C$13, 100%, $E$13)</f>
        <v>14.315099999999999</v>
      </c>
      <c r="E858" s="68">
        <f>15.976 * CHOOSE(CONTROL!$C$22, $C$13, 100%, $E$13)</f>
        <v>15.976000000000001</v>
      </c>
      <c r="F858" s="68">
        <f>15.976 * CHOOSE(CONTROL!$C$22, $C$13, 100%, $E$13)</f>
        <v>15.976000000000001</v>
      </c>
      <c r="G858" s="68">
        <f>15.9808 * CHOOSE(CONTROL!$C$22, $C$13, 100%, $E$13)</f>
        <v>15.9808</v>
      </c>
      <c r="H858" s="68">
        <f>25.2974* CHOOSE(CONTROL!$C$22, $C$13, 100%, $E$13)</f>
        <v>25.2974</v>
      </c>
      <c r="I858" s="68">
        <f>25.3021 * CHOOSE(CONTROL!$C$22, $C$13, 100%, $E$13)</f>
        <v>25.302099999999999</v>
      </c>
      <c r="J858" s="68">
        <f>15.976 * CHOOSE(CONTROL!$C$22, $C$13, 100%, $E$13)</f>
        <v>15.976000000000001</v>
      </c>
      <c r="K858" s="68">
        <f>15.9808 * CHOOSE(CONTROL!$C$22, $C$13, 100%, $E$13)</f>
        <v>15.9808</v>
      </c>
    </row>
    <row r="859" spans="1:11" ht="15">
      <c r="A859" s="13">
        <v>67267</v>
      </c>
      <c r="B859" s="67">
        <f>14.3082 * CHOOSE(CONTROL!$C$22, $C$13, 100%, $E$13)</f>
        <v>14.308199999999999</v>
      </c>
      <c r="C859" s="67">
        <f>14.3082 * CHOOSE(CONTROL!$C$22, $C$13, 100%, $E$13)</f>
        <v>14.308199999999999</v>
      </c>
      <c r="D859" s="67">
        <f>14.3121 * CHOOSE(CONTROL!$C$22, $C$13, 100%, $E$13)</f>
        <v>14.312099999999999</v>
      </c>
      <c r="E859" s="68">
        <f>16.2022 * CHOOSE(CONTROL!$C$22, $C$13, 100%, $E$13)</f>
        <v>16.202200000000001</v>
      </c>
      <c r="F859" s="68">
        <f>16.2022 * CHOOSE(CONTROL!$C$22, $C$13, 100%, $E$13)</f>
        <v>16.202200000000001</v>
      </c>
      <c r="G859" s="68">
        <f>16.2069 * CHOOSE(CONTROL!$C$22, $C$13, 100%, $E$13)</f>
        <v>16.206900000000001</v>
      </c>
      <c r="H859" s="68">
        <f>25.3501* CHOOSE(CONTROL!$C$22, $C$13, 100%, $E$13)</f>
        <v>25.350100000000001</v>
      </c>
      <c r="I859" s="68">
        <f>25.3548 * CHOOSE(CONTROL!$C$22, $C$13, 100%, $E$13)</f>
        <v>25.354800000000001</v>
      </c>
      <c r="J859" s="68">
        <f>16.2022 * CHOOSE(CONTROL!$C$22, $C$13, 100%, $E$13)</f>
        <v>16.202200000000001</v>
      </c>
      <c r="K859" s="68">
        <f>16.2069 * CHOOSE(CONTROL!$C$22, $C$13, 100%, $E$13)</f>
        <v>16.206900000000001</v>
      </c>
    </row>
    <row r="860" spans="1:11" ht="15">
      <c r="A860" s="13">
        <v>67298</v>
      </c>
      <c r="B860" s="67">
        <f>14.3145 * CHOOSE(CONTROL!$C$22, $C$13, 100%, $E$13)</f>
        <v>14.314500000000001</v>
      </c>
      <c r="C860" s="67">
        <f>14.3145 * CHOOSE(CONTROL!$C$22, $C$13, 100%, $E$13)</f>
        <v>14.314500000000001</v>
      </c>
      <c r="D860" s="67">
        <f>14.3184 * CHOOSE(CONTROL!$C$22, $C$13, 100%, $E$13)</f>
        <v>14.3184</v>
      </c>
      <c r="E860" s="68">
        <f>16.4431 * CHOOSE(CONTROL!$C$22, $C$13, 100%, $E$13)</f>
        <v>16.443100000000001</v>
      </c>
      <c r="F860" s="68">
        <f>16.4431 * CHOOSE(CONTROL!$C$22, $C$13, 100%, $E$13)</f>
        <v>16.443100000000001</v>
      </c>
      <c r="G860" s="68">
        <f>16.4478 * CHOOSE(CONTROL!$C$22, $C$13, 100%, $E$13)</f>
        <v>16.447800000000001</v>
      </c>
      <c r="H860" s="68">
        <f>25.4029* CHOOSE(CONTROL!$C$22, $C$13, 100%, $E$13)</f>
        <v>25.402899999999999</v>
      </c>
      <c r="I860" s="68">
        <f>25.4076 * CHOOSE(CONTROL!$C$22, $C$13, 100%, $E$13)</f>
        <v>25.407599999999999</v>
      </c>
      <c r="J860" s="68">
        <f>16.4431 * CHOOSE(CONTROL!$C$22, $C$13, 100%, $E$13)</f>
        <v>16.443100000000001</v>
      </c>
      <c r="K860" s="68">
        <f>16.4478 * CHOOSE(CONTROL!$C$22, $C$13, 100%, $E$13)</f>
        <v>16.447800000000001</v>
      </c>
    </row>
    <row r="861" spans="1:11" ht="15">
      <c r="A861" s="13">
        <v>67328</v>
      </c>
      <c r="B861" s="67">
        <f>14.3145 * CHOOSE(CONTROL!$C$22, $C$13, 100%, $E$13)</f>
        <v>14.314500000000001</v>
      </c>
      <c r="C861" s="67">
        <f>14.3145 * CHOOSE(CONTROL!$C$22, $C$13, 100%, $E$13)</f>
        <v>14.314500000000001</v>
      </c>
      <c r="D861" s="67">
        <f>14.32 * CHOOSE(CONTROL!$C$22, $C$13, 100%, $E$13)</f>
        <v>14.32</v>
      </c>
      <c r="E861" s="68">
        <f>16.535 * CHOOSE(CONTROL!$C$22, $C$13, 100%, $E$13)</f>
        <v>16.535</v>
      </c>
      <c r="F861" s="68">
        <f>16.535 * CHOOSE(CONTROL!$C$22, $C$13, 100%, $E$13)</f>
        <v>16.535</v>
      </c>
      <c r="G861" s="68">
        <f>16.5417 * CHOOSE(CONTROL!$C$22, $C$13, 100%, $E$13)</f>
        <v>16.541699999999999</v>
      </c>
      <c r="H861" s="68">
        <f>25.4558* CHOOSE(CONTROL!$C$22, $C$13, 100%, $E$13)</f>
        <v>25.4558</v>
      </c>
      <c r="I861" s="68">
        <f>25.4625 * CHOOSE(CONTROL!$C$22, $C$13, 100%, $E$13)</f>
        <v>25.462499999999999</v>
      </c>
      <c r="J861" s="68">
        <f>16.535 * CHOOSE(CONTROL!$C$22, $C$13, 100%, $E$13)</f>
        <v>16.535</v>
      </c>
      <c r="K861" s="68">
        <f>16.5417 * CHOOSE(CONTROL!$C$22, $C$13, 100%, $E$13)</f>
        <v>16.541699999999999</v>
      </c>
    </row>
    <row r="862" spans="1:11" ht="15">
      <c r="A862" s="13">
        <v>67359</v>
      </c>
      <c r="B862" s="67">
        <f>14.3206 * CHOOSE(CONTROL!$C$22, $C$13, 100%, $E$13)</f>
        <v>14.320600000000001</v>
      </c>
      <c r="C862" s="67">
        <f>14.3206 * CHOOSE(CONTROL!$C$22, $C$13, 100%, $E$13)</f>
        <v>14.320600000000001</v>
      </c>
      <c r="D862" s="67">
        <f>14.3261 * CHOOSE(CONTROL!$C$22, $C$13, 100%, $E$13)</f>
        <v>14.3261</v>
      </c>
      <c r="E862" s="68">
        <f>16.4473 * CHOOSE(CONTROL!$C$22, $C$13, 100%, $E$13)</f>
        <v>16.447299999999998</v>
      </c>
      <c r="F862" s="68">
        <f>16.4473 * CHOOSE(CONTROL!$C$22, $C$13, 100%, $E$13)</f>
        <v>16.447299999999998</v>
      </c>
      <c r="G862" s="68">
        <f>16.454 * CHOOSE(CONTROL!$C$22, $C$13, 100%, $E$13)</f>
        <v>16.454000000000001</v>
      </c>
      <c r="H862" s="68">
        <f>25.5088* CHOOSE(CONTROL!$C$22, $C$13, 100%, $E$13)</f>
        <v>25.508800000000001</v>
      </c>
      <c r="I862" s="68">
        <f>25.5156 * CHOOSE(CONTROL!$C$22, $C$13, 100%, $E$13)</f>
        <v>25.515599999999999</v>
      </c>
      <c r="J862" s="68">
        <f>16.4473 * CHOOSE(CONTROL!$C$22, $C$13, 100%, $E$13)</f>
        <v>16.447299999999998</v>
      </c>
      <c r="K862" s="68">
        <f>16.454 * CHOOSE(CONTROL!$C$22, $C$13, 100%, $E$13)</f>
        <v>16.454000000000001</v>
      </c>
    </row>
    <row r="863" spans="1:11" ht="15">
      <c r="A863" s="13">
        <v>67389</v>
      </c>
      <c r="B863" s="67">
        <f>14.5376 * CHOOSE(CONTROL!$C$22, $C$13, 100%, $E$13)</f>
        <v>14.537599999999999</v>
      </c>
      <c r="C863" s="67">
        <f>14.5376 * CHOOSE(CONTROL!$C$22, $C$13, 100%, $E$13)</f>
        <v>14.537599999999999</v>
      </c>
      <c r="D863" s="67">
        <f>14.5431 * CHOOSE(CONTROL!$C$22, $C$13, 100%, $E$13)</f>
        <v>14.543100000000001</v>
      </c>
      <c r="E863" s="68">
        <f>16.7087 * CHOOSE(CONTROL!$C$22, $C$13, 100%, $E$13)</f>
        <v>16.7087</v>
      </c>
      <c r="F863" s="68">
        <f>16.7087 * CHOOSE(CONTROL!$C$22, $C$13, 100%, $E$13)</f>
        <v>16.7087</v>
      </c>
      <c r="G863" s="68">
        <f>16.7154 * CHOOSE(CONTROL!$C$22, $C$13, 100%, $E$13)</f>
        <v>16.715399999999999</v>
      </c>
      <c r="H863" s="68">
        <f>25.562* CHOOSE(CONTROL!$C$22, $C$13, 100%, $E$13)</f>
        <v>25.562000000000001</v>
      </c>
      <c r="I863" s="68">
        <f>25.5687 * CHOOSE(CONTROL!$C$22, $C$13, 100%, $E$13)</f>
        <v>25.5687</v>
      </c>
      <c r="J863" s="68">
        <f>16.7087 * CHOOSE(CONTROL!$C$22, $C$13, 100%, $E$13)</f>
        <v>16.7087</v>
      </c>
      <c r="K863" s="68">
        <f>16.7154 * CHOOSE(CONTROL!$C$22, $C$13, 100%, $E$13)</f>
        <v>16.715399999999999</v>
      </c>
    </row>
    <row r="864" spans="1:11" ht="15">
      <c r="A864" s="13">
        <v>67420</v>
      </c>
      <c r="B864" s="67">
        <f>14.5443 * CHOOSE(CONTROL!$C$22, $C$13, 100%, $E$13)</f>
        <v>14.5443</v>
      </c>
      <c r="C864" s="67">
        <f>14.5443 * CHOOSE(CONTROL!$C$22, $C$13, 100%, $E$13)</f>
        <v>14.5443</v>
      </c>
      <c r="D864" s="67">
        <f>14.5498 * CHOOSE(CONTROL!$C$22, $C$13, 100%, $E$13)</f>
        <v>14.549799999999999</v>
      </c>
      <c r="E864" s="68">
        <f>16.4375 * CHOOSE(CONTROL!$C$22, $C$13, 100%, $E$13)</f>
        <v>16.4375</v>
      </c>
      <c r="F864" s="68">
        <f>16.4375 * CHOOSE(CONTROL!$C$22, $C$13, 100%, $E$13)</f>
        <v>16.4375</v>
      </c>
      <c r="G864" s="68">
        <f>16.4443 * CHOOSE(CONTROL!$C$22, $C$13, 100%, $E$13)</f>
        <v>16.444299999999998</v>
      </c>
      <c r="H864" s="68">
        <f>25.6152* CHOOSE(CONTROL!$C$22, $C$13, 100%, $E$13)</f>
        <v>25.615200000000002</v>
      </c>
      <c r="I864" s="68">
        <f>25.622 * CHOOSE(CONTROL!$C$22, $C$13, 100%, $E$13)</f>
        <v>25.622</v>
      </c>
      <c r="J864" s="68">
        <f>16.4375 * CHOOSE(CONTROL!$C$22, $C$13, 100%, $E$13)</f>
        <v>16.4375</v>
      </c>
      <c r="K864" s="68">
        <f>16.4443 * CHOOSE(CONTROL!$C$22, $C$13, 100%, $E$13)</f>
        <v>16.444299999999998</v>
      </c>
    </row>
    <row r="865" spans="1:11" ht="15">
      <c r="A865" s="13">
        <v>67451</v>
      </c>
      <c r="B865" s="67">
        <f>14.5412 * CHOOSE(CONTROL!$C$22, $C$13, 100%, $E$13)</f>
        <v>14.5412</v>
      </c>
      <c r="C865" s="67">
        <f>14.5412 * CHOOSE(CONTROL!$C$22, $C$13, 100%, $E$13)</f>
        <v>14.5412</v>
      </c>
      <c r="D865" s="67">
        <f>14.5468 * CHOOSE(CONTROL!$C$22, $C$13, 100%, $E$13)</f>
        <v>14.546799999999999</v>
      </c>
      <c r="E865" s="68">
        <f>16.4048 * CHOOSE(CONTROL!$C$22, $C$13, 100%, $E$13)</f>
        <v>16.404800000000002</v>
      </c>
      <c r="F865" s="68">
        <f>16.4048 * CHOOSE(CONTROL!$C$22, $C$13, 100%, $E$13)</f>
        <v>16.404800000000002</v>
      </c>
      <c r="G865" s="68">
        <f>16.4115 * CHOOSE(CONTROL!$C$22, $C$13, 100%, $E$13)</f>
        <v>16.4115</v>
      </c>
      <c r="H865" s="68">
        <f>25.6686* CHOOSE(CONTROL!$C$22, $C$13, 100%, $E$13)</f>
        <v>25.668600000000001</v>
      </c>
      <c r="I865" s="68">
        <f>25.6753 * CHOOSE(CONTROL!$C$22, $C$13, 100%, $E$13)</f>
        <v>25.6753</v>
      </c>
      <c r="J865" s="68">
        <f>16.4048 * CHOOSE(CONTROL!$C$22, $C$13, 100%, $E$13)</f>
        <v>16.404800000000002</v>
      </c>
      <c r="K865" s="68">
        <f>16.4115 * CHOOSE(CONTROL!$C$22, $C$13, 100%, $E$13)</f>
        <v>16.4115</v>
      </c>
    </row>
    <row r="866" spans="1:11" ht="15">
      <c r="A866" s="13">
        <v>67481</v>
      </c>
      <c r="B866" s="67">
        <f>14.5702 * CHOOSE(CONTROL!$C$22, $C$13, 100%, $E$13)</f>
        <v>14.5702</v>
      </c>
      <c r="C866" s="67">
        <f>14.5702 * CHOOSE(CONTROL!$C$22, $C$13, 100%, $E$13)</f>
        <v>14.5702</v>
      </c>
      <c r="D866" s="67">
        <f>14.5741 * CHOOSE(CONTROL!$C$22, $C$13, 100%, $E$13)</f>
        <v>14.5741</v>
      </c>
      <c r="E866" s="68">
        <f>16.5139 * CHOOSE(CONTROL!$C$22, $C$13, 100%, $E$13)</f>
        <v>16.5139</v>
      </c>
      <c r="F866" s="68">
        <f>16.5139 * CHOOSE(CONTROL!$C$22, $C$13, 100%, $E$13)</f>
        <v>16.5139</v>
      </c>
      <c r="G866" s="68">
        <f>16.5187 * CHOOSE(CONTROL!$C$22, $C$13, 100%, $E$13)</f>
        <v>16.518699999999999</v>
      </c>
      <c r="H866" s="68">
        <f>25.7221* CHOOSE(CONTROL!$C$22, $C$13, 100%, $E$13)</f>
        <v>25.722100000000001</v>
      </c>
      <c r="I866" s="68">
        <f>25.7268 * CHOOSE(CONTROL!$C$22, $C$13, 100%, $E$13)</f>
        <v>25.726800000000001</v>
      </c>
      <c r="J866" s="68">
        <f>16.5139 * CHOOSE(CONTROL!$C$22, $C$13, 100%, $E$13)</f>
        <v>16.5139</v>
      </c>
      <c r="K866" s="68">
        <f>16.5187 * CHOOSE(CONTROL!$C$22, $C$13, 100%, $E$13)</f>
        <v>16.518699999999999</v>
      </c>
    </row>
    <row r="867" spans="1:11" ht="15">
      <c r="A867" s="13">
        <v>67512</v>
      </c>
      <c r="B867" s="67">
        <f>14.5733 * CHOOSE(CONTROL!$C$22, $C$13, 100%, $E$13)</f>
        <v>14.5733</v>
      </c>
      <c r="C867" s="67">
        <f>14.5733 * CHOOSE(CONTROL!$C$22, $C$13, 100%, $E$13)</f>
        <v>14.5733</v>
      </c>
      <c r="D867" s="67">
        <f>14.5771 * CHOOSE(CONTROL!$C$22, $C$13, 100%, $E$13)</f>
        <v>14.5771</v>
      </c>
      <c r="E867" s="68">
        <f>16.5773 * CHOOSE(CONTROL!$C$22, $C$13, 100%, $E$13)</f>
        <v>16.577300000000001</v>
      </c>
      <c r="F867" s="68">
        <f>16.5773 * CHOOSE(CONTROL!$C$22, $C$13, 100%, $E$13)</f>
        <v>16.577300000000001</v>
      </c>
      <c r="G867" s="68">
        <f>16.5821 * CHOOSE(CONTROL!$C$22, $C$13, 100%, $E$13)</f>
        <v>16.582100000000001</v>
      </c>
      <c r="H867" s="68">
        <f>25.7757* CHOOSE(CONTROL!$C$22, $C$13, 100%, $E$13)</f>
        <v>25.775700000000001</v>
      </c>
      <c r="I867" s="68">
        <f>25.7804 * CHOOSE(CONTROL!$C$22, $C$13, 100%, $E$13)</f>
        <v>25.7804</v>
      </c>
      <c r="J867" s="68">
        <f>16.5773 * CHOOSE(CONTROL!$C$22, $C$13, 100%, $E$13)</f>
        <v>16.577300000000001</v>
      </c>
      <c r="K867" s="68">
        <f>16.5821 * CHOOSE(CONTROL!$C$22, $C$13, 100%, $E$13)</f>
        <v>16.582100000000001</v>
      </c>
    </row>
    <row r="868" spans="1:11" ht="15">
      <c r="A868" s="13">
        <v>67542</v>
      </c>
      <c r="B868" s="67">
        <f>14.5733 * CHOOSE(CONTROL!$C$22, $C$13, 100%, $E$13)</f>
        <v>14.5733</v>
      </c>
      <c r="C868" s="67">
        <f>14.5733 * CHOOSE(CONTROL!$C$22, $C$13, 100%, $E$13)</f>
        <v>14.5733</v>
      </c>
      <c r="D868" s="67">
        <f>14.5771 * CHOOSE(CONTROL!$C$22, $C$13, 100%, $E$13)</f>
        <v>14.5771</v>
      </c>
      <c r="E868" s="68">
        <f>16.4241 * CHOOSE(CONTROL!$C$22, $C$13, 100%, $E$13)</f>
        <v>16.424099999999999</v>
      </c>
      <c r="F868" s="68">
        <f>16.4241 * CHOOSE(CONTROL!$C$22, $C$13, 100%, $E$13)</f>
        <v>16.424099999999999</v>
      </c>
      <c r="G868" s="68">
        <f>16.4289 * CHOOSE(CONTROL!$C$22, $C$13, 100%, $E$13)</f>
        <v>16.428899999999999</v>
      </c>
      <c r="H868" s="68">
        <f>25.8294* CHOOSE(CONTROL!$C$22, $C$13, 100%, $E$13)</f>
        <v>25.8294</v>
      </c>
      <c r="I868" s="68">
        <f>25.8341 * CHOOSE(CONTROL!$C$22, $C$13, 100%, $E$13)</f>
        <v>25.834099999999999</v>
      </c>
      <c r="J868" s="68">
        <f>16.4241 * CHOOSE(CONTROL!$C$22, $C$13, 100%, $E$13)</f>
        <v>16.424099999999999</v>
      </c>
      <c r="K868" s="68">
        <f>16.4289 * CHOOSE(CONTROL!$C$22, $C$13, 100%, $E$13)</f>
        <v>16.428899999999999</v>
      </c>
    </row>
    <row r="869" spans="1:11" ht="15">
      <c r="A869" s="13">
        <v>67573</v>
      </c>
      <c r="B869" s="67">
        <f>14.5499 * CHOOSE(CONTROL!$C$22, $C$13, 100%, $E$13)</f>
        <v>14.549899999999999</v>
      </c>
      <c r="C869" s="67">
        <f>14.5499 * CHOOSE(CONTROL!$C$22, $C$13, 100%, $E$13)</f>
        <v>14.549899999999999</v>
      </c>
      <c r="D869" s="67">
        <f>14.5537 * CHOOSE(CONTROL!$C$22, $C$13, 100%, $E$13)</f>
        <v>14.553699999999999</v>
      </c>
      <c r="E869" s="68">
        <f>16.5224 * CHOOSE(CONTROL!$C$22, $C$13, 100%, $E$13)</f>
        <v>16.522400000000001</v>
      </c>
      <c r="F869" s="68">
        <f>16.5224 * CHOOSE(CONTROL!$C$22, $C$13, 100%, $E$13)</f>
        <v>16.522400000000001</v>
      </c>
      <c r="G869" s="68">
        <f>16.5272 * CHOOSE(CONTROL!$C$22, $C$13, 100%, $E$13)</f>
        <v>16.527200000000001</v>
      </c>
      <c r="H869" s="68">
        <f>25.6484* CHOOSE(CONTROL!$C$22, $C$13, 100%, $E$13)</f>
        <v>25.648399999999999</v>
      </c>
      <c r="I869" s="68">
        <f>25.6532 * CHOOSE(CONTROL!$C$22, $C$13, 100%, $E$13)</f>
        <v>25.653199999999998</v>
      </c>
      <c r="J869" s="68">
        <f>16.5224 * CHOOSE(CONTROL!$C$22, $C$13, 100%, $E$13)</f>
        <v>16.522400000000001</v>
      </c>
      <c r="K869" s="68">
        <f>16.5272 * CHOOSE(CONTROL!$C$22, $C$13, 100%, $E$13)</f>
        <v>16.527200000000001</v>
      </c>
    </row>
    <row r="870" spans="1:11" ht="15">
      <c r="A870" s="13">
        <v>67604</v>
      </c>
      <c r="B870" s="67">
        <f>14.5468 * CHOOSE(CONTROL!$C$22, $C$13, 100%, $E$13)</f>
        <v>14.546799999999999</v>
      </c>
      <c r="C870" s="67">
        <f>14.5468 * CHOOSE(CONTROL!$C$22, $C$13, 100%, $E$13)</f>
        <v>14.546799999999999</v>
      </c>
      <c r="D870" s="67">
        <f>14.5507 * CHOOSE(CONTROL!$C$22, $C$13, 100%, $E$13)</f>
        <v>14.550700000000001</v>
      </c>
      <c r="E870" s="68">
        <f>16.2258 * CHOOSE(CONTROL!$C$22, $C$13, 100%, $E$13)</f>
        <v>16.2258</v>
      </c>
      <c r="F870" s="68">
        <f>16.2258 * CHOOSE(CONTROL!$C$22, $C$13, 100%, $E$13)</f>
        <v>16.2258</v>
      </c>
      <c r="G870" s="68">
        <f>16.2306 * CHOOSE(CONTROL!$C$22, $C$13, 100%, $E$13)</f>
        <v>16.230599999999999</v>
      </c>
      <c r="H870" s="68">
        <f>25.7018* CHOOSE(CONTROL!$C$22, $C$13, 100%, $E$13)</f>
        <v>25.701799999999999</v>
      </c>
      <c r="I870" s="68">
        <f>25.7066 * CHOOSE(CONTROL!$C$22, $C$13, 100%, $E$13)</f>
        <v>25.706600000000002</v>
      </c>
      <c r="J870" s="68">
        <f>16.2258 * CHOOSE(CONTROL!$C$22, $C$13, 100%, $E$13)</f>
        <v>16.2258</v>
      </c>
      <c r="K870" s="68">
        <f>16.2306 * CHOOSE(CONTROL!$C$22, $C$13, 100%, $E$13)</f>
        <v>16.230599999999999</v>
      </c>
    </row>
    <row r="871" spans="1:11" ht="15">
      <c r="A871" s="13">
        <v>67632</v>
      </c>
      <c r="B871" s="67">
        <f>14.5438 * CHOOSE(CONTROL!$C$22, $C$13, 100%, $E$13)</f>
        <v>14.543799999999999</v>
      </c>
      <c r="C871" s="67">
        <f>14.5438 * CHOOSE(CONTROL!$C$22, $C$13, 100%, $E$13)</f>
        <v>14.543799999999999</v>
      </c>
      <c r="D871" s="67">
        <f>14.5477 * CHOOSE(CONTROL!$C$22, $C$13, 100%, $E$13)</f>
        <v>14.547700000000001</v>
      </c>
      <c r="E871" s="68">
        <f>16.4558 * CHOOSE(CONTROL!$C$22, $C$13, 100%, $E$13)</f>
        <v>16.4558</v>
      </c>
      <c r="F871" s="68">
        <f>16.4558 * CHOOSE(CONTROL!$C$22, $C$13, 100%, $E$13)</f>
        <v>16.4558</v>
      </c>
      <c r="G871" s="68">
        <f>16.4606 * CHOOSE(CONTROL!$C$22, $C$13, 100%, $E$13)</f>
        <v>16.460599999999999</v>
      </c>
      <c r="H871" s="68">
        <f>25.7554* CHOOSE(CONTROL!$C$22, $C$13, 100%, $E$13)</f>
        <v>25.755400000000002</v>
      </c>
      <c r="I871" s="68">
        <f>25.7601 * CHOOSE(CONTROL!$C$22, $C$13, 100%, $E$13)</f>
        <v>25.760100000000001</v>
      </c>
      <c r="J871" s="68">
        <f>16.4558 * CHOOSE(CONTROL!$C$22, $C$13, 100%, $E$13)</f>
        <v>16.4558</v>
      </c>
      <c r="K871" s="68">
        <f>16.4606 * CHOOSE(CONTROL!$C$22, $C$13, 100%, $E$13)</f>
        <v>16.460599999999999</v>
      </c>
    </row>
    <row r="872" spans="1:11" ht="15">
      <c r="A872" s="13">
        <v>67663</v>
      </c>
      <c r="B872" s="67">
        <f>14.5503 * CHOOSE(CONTROL!$C$22, $C$13, 100%, $E$13)</f>
        <v>14.5503</v>
      </c>
      <c r="C872" s="67">
        <f>14.5503 * CHOOSE(CONTROL!$C$22, $C$13, 100%, $E$13)</f>
        <v>14.5503</v>
      </c>
      <c r="D872" s="67">
        <f>14.5541 * CHOOSE(CONTROL!$C$22, $C$13, 100%, $E$13)</f>
        <v>14.5541</v>
      </c>
      <c r="E872" s="68">
        <f>16.7009 * CHOOSE(CONTROL!$C$22, $C$13, 100%, $E$13)</f>
        <v>16.700900000000001</v>
      </c>
      <c r="F872" s="68">
        <f>16.7009 * CHOOSE(CONTROL!$C$22, $C$13, 100%, $E$13)</f>
        <v>16.700900000000001</v>
      </c>
      <c r="G872" s="68">
        <f>16.7057 * CHOOSE(CONTROL!$C$22, $C$13, 100%, $E$13)</f>
        <v>16.7057</v>
      </c>
      <c r="H872" s="68">
        <f>25.809* CHOOSE(CONTROL!$C$22, $C$13, 100%, $E$13)</f>
        <v>25.809000000000001</v>
      </c>
      <c r="I872" s="68">
        <f>25.8138 * CHOOSE(CONTROL!$C$22, $C$13, 100%, $E$13)</f>
        <v>25.813800000000001</v>
      </c>
      <c r="J872" s="68">
        <f>16.7009 * CHOOSE(CONTROL!$C$22, $C$13, 100%, $E$13)</f>
        <v>16.700900000000001</v>
      </c>
      <c r="K872" s="68">
        <f>16.7057 * CHOOSE(CONTROL!$C$22, $C$13, 100%, $E$13)</f>
        <v>16.7057</v>
      </c>
    </row>
    <row r="873" spans="1:11" ht="15">
      <c r="A873" s="13">
        <v>67693</v>
      </c>
      <c r="B873" s="67">
        <f>14.5503 * CHOOSE(CONTROL!$C$22, $C$13, 100%, $E$13)</f>
        <v>14.5503</v>
      </c>
      <c r="C873" s="67">
        <f>14.5503 * CHOOSE(CONTROL!$C$22, $C$13, 100%, $E$13)</f>
        <v>14.5503</v>
      </c>
      <c r="D873" s="67">
        <f>14.5558 * CHOOSE(CONTROL!$C$22, $C$13, 100%, $E$13)</f>
        <v>14.5558</v>
      </c>
      <c r="E873" s="68">
        <f>16.7944 * CHOOSE(CONTROL!$C$22, $C$13, 100%, $E$13)</f>
        <v>16.7944</v>
      </c>
      <c r="F873" s="68">
        <f>16.7944 * CHOOSE(CONTROL!$C$22, $C$13, 100%, $E$13)</f>
        <v>16.7944</v>
      </c>
      <c r="G873" s="68">
        <f>16.8012 * CHOOSE(CONTROL!$C$22, $C$13, 100%, $E$13)</f>
        <v>16.801200000000001</v>
      </c>
      <c r="H873" s="68">
        <f>25.8628* CHOOSE(CONTROL!$C$22, $C$13, 100%, $E$13)</f>
        <v>25.8628</v>
      </c>
      <c r="I873" s="68">
        <f>25.8695 * CHOOSE(CONTROL!$C$22, $C$13, 100%, $E$13)</f>
        <v>25.869499999999999</v>
      </c>
      <c r="J873" s="68">
        <f>16.7944 * CHOOSE(CONTROL!$C$22, $C$13, 100%, $E$13)</f>
        <v>16.7944</v>
      </c>
      <c r="K873" s="68">
        <f>16.8012 * CHOOSE(CONTROL!$C$22, $C$13, 100%, $E$13)</f>
        <v>16.801200000000001</v>
      </c>
    </row>
    <row r="874" spans="1:11" ht="15">
      <c r="A874" s="13">
        <v>67724</v>
      </c>
      <c r="B874" s="67">
        <f>14.5564 * CHOOSE(CONTROL!$C$22, $C$13, 100%, $E$13)</f>
        <v>14.5564</v>
      </c>
      <c r="C874" s="67">
        <f>14.5564 * CHOOSE(CONTROL!$C$22, $C$13, 100%, $E$13)</f>
        <v>14.5564</v>
      </c>
      <c r="D874" s="67">
        <f>14.5619 * CHOOSE(CONTROL!$C$22, $C$13, 100%, $E$13)</f>
        <v>14.5619</v>
      </c>
      <c r="E874" s="68">
        <f>16.7052 * CHOOSE(CONTROL!$C$22, $C$13, 100%, $E$13)</f>
        <v>16.705200000000001</v>
      </c>
      <c r="F874" s="68">
        <f>16.7052 * CHOOSE(CONTROL!$C$22, $C$13, 100%, $E$13)</f>
        <v>16.705200000000001</v>
      </c>
      <c r="G874" s="68">
        <f>16.7119 * CHOOSE(CONTROL!$C$22, $C$13, 100%, $E$13)</f>
        <v>16.7119</v>
      </c>
      <c r="H874" s="68">
        <f>25.9167* CHOOSE(CONTROL!$C$22, $C$13, 100%, $E$13)</f>
        <v>25.916699999999999</v>
      </c>
      <c r="I874" s="68">
        <f>25.9234 * CHOOSE(CONTROL!$C$22, $C$13, 100%, $E$13)</f>
        <v>25.923400000000001</v>
      </c>
      <c r="J874" s="68">
        <f>16.7052 * CHOOSE(CONTROL!$C$22, $C$13, 100%, $E$13)</f>
        <v>16.705200000000001</v>
      </c>
      <c r="K874" s="68">
        <f>16.7119 * CHOOSE(CONTROL!$C$22, $C$13, 100%, $E$13)</f>
        <v>16.7119</v>
      </c>
    </row>
    <row r="875" spans="1:11" ht="15">
      <c r="A875" s="13">
        <v>67754</v>
      </c>
      <c r="B875" s="67">
        <f>14.7768 * CHOOSE(CONTROL!$C$22, $C$13, 100%, $E$13)</f>
        <v>14.7768</v>
      </c>
      <c r="C875" s="67">
        <f>14.7768 * CHOOSE(CONTROL!$C$22, $C$13, 100%, $E$13)</f>
        <v>14.7768</v>
      </c>
      <c r="D875" s="67">
        <f>14.7823 * CHOOSE(CONTROL!$C$22, $C$13, 100%, $E$13)</f>
        <v>14.782299999999999</v>
      </c>
      <c r="E875" s="68">
        <f>16.9704 * CHOOSE(CONTROL!$C$22, $C$13, 100%, $E$13)</f>
        <v>16.970400000000001</v>
      </c>
      <c r="F875" s="68">
        <f>16.9704 * CHOOSE(CONTROL!$C$22, $C$13, 100%, $E$13)</f>
        <v>16.970400000000001</v>
      </c>
      <c r="G875" s="68">
        <f>16.9772 * CHOOSE(CONTROL!$C$22, $C$13, 100%, $E$13)</f>
        <v>16.9772</v>
      </c>
      <c r="H875" s="68">
        <f>25.9707* CHOOSE(CONTROL!$C$22, $C$13, 100%, $E$13)</f>
        <v>25.970700000000001</v>
      </c>
      <c r="I875" s="68">
        <f>25.9774 * CHOOSE(CONTROL!$C$22, $C$13, 100%, $E$13)</f>
        <v>25.977399999999999</v>
      </c>
      <c r="J875" s="68">
        <f>16.9704 * CHOOSE(CONTROL!$C$22, $C$13, 100%, $E$13)</f>
        <v>16.970400000000001</v>
      </c>
      <c r="K875" s="68">
        <f>16.9772 * CHOOSE(CONTROL!$C$22, $C$13, 100%, $E$13)</f>
        <v>16.9772</v>
      </c>
    </row>
    <row r="876" spans="1:11" ht="15">
      <c r="A876" s="13">
        <v>67785</v>
      </c>
      <c r="B876" s="67">
        <f>14.7835 * CHOOSE(CONTROL!$C$22, $C$13, 100%, $E$13)</f>
        <v>14.7835</v>
      </c>
      <c r="C876" s="67">
        <f>14.7835 * CHOOSE(CONTROL!$C$22, $C$13, 100%, $E$13)</f>
        <v>14.7835</v>
      </c>
      <c r="D876" s="67">
        <f>14.789 * CHOOSE(CONTROL!$C$22, $C$13, 100%, $E$13)</f>
        <v>14.789</v>
      </c>
      <c r="E876" s="68">
        <f>16.6946 * CHOOSE(CONTROL!$C$22, $C$13, 100%, $E$13)</f>
        <v>16.694600000000001</v>
      </c>
      <c r="F876" s="68">
        <f>16.6946 * CHOOSE(CONTROL!$C$22, $C$13, 100%, $E$13)</f>
        <v>16.694600000000001</v>
      </c>
      <c r="G876" s="68">
        <f>16.7014 * CHOOSE(CONTROL!$C$22, $C$13, 100%, $E$13)</f>
        <v>16.7014</v>
      </c>
      <c r="H876" s="68">
        <f>26.0248* CHOOSE(CONTROL!$C$22, $C$13, 100%, $E$13)</f>
        <v>26.024799999999999</v>
      </c>
      <c r="I876" s="68">
        <f>26.0315 * CHOOSE(CONTROL!$C$22, $C$13, 100%, $E$13)</f>
        <v>26.031500000000001</v>
      </c>
      <c r="J876" s="68">
        <f>16.6946 * CHOOSE(CONTROL!$C$22, $C$13, 100%, $E$13)</f>
        <v>16.694600000000001</v>
      </c>
      <c r="K876" s="68">
        <f>16.7014 * CHOOSE(CONTROL!$C$22, $C$13, 100%, $E$13)</f>
        <v>16.7014</v>
      </c>
    </row>
    <row r="877" spans="1:11" ht="15">
      <c r="A877" s="13">
        <v>67816</v>
      </c>
      <c r="B877" s="67">
        <f>14.7804 * CHOOSE(CONTROL!$C$22, $C$13, 100%, $E$13)</f>
        <v>14.7804</v>
      </c>
      <c r="C877" s="67">
        <f>14.7804 * CHOOSE(CONTROL!$C$22, $C$13, 100%, $E$13)</f>
        <v>14.7804</v>
      </c>
      <c r="D877" s="67">
        <f>14.7859 * CHOOSE(CONTROL!$C$22, $C$13, 100%, $E$13)</f>
        <v>14.7859</v>
      </c>
      <c r="E877" s="68">
        <f>16.6613 * CHOOSE(CONTROL!$C$22, $C$13, 100%, $E$13)</f>
        <v>16.661300000000001</v>
      </c>
      <c r="F877" s="68">
        <f>16.6613 * CHOOSE(CONTROL!$C$22, $C$13, 100%, $E$13)</f>
        <v>16.661300000000001</v>
      </c>
      <c r="G877" s="68">
        <f>16.6681 * CHOOSE(CONTROL!$C$22, $C$13, 100%, $E$13)</f>
        <v>16.668099999999999</v>
      </c>
      <c r="H877" s="68">
        <f>26.079* CHOOSE(CONTROL!$C$22, $C$13, 100%, $E$13)</f>
        <v>26.079000000000001</v>
      </c>
      <c r="I877" s="68">
        <f>26.0857 * CHOOSE(CONTROL!$C$22, $C$13, 100%, $E$13)</f>
        <v>26.085699999999999</v>
      </c>
      <c r="J877" s="68">
        <f>16.6613 * CHOOSE(CONTROL!$C$22, $C$13, 100%, $E$13)</f>
        <v>16.661300000000001</v>
      </c>
      <c r="K877" s="68">
        <f>16.6681 * CHOOSE(CONTROL!$C$22, $C$13, 100%, $E$13)</f>
        <v>16.668099999999999</v>
      </c>
    </row>
    <row r="878" spans="1:11" ht="15">
      <c r="A878" s="13">
        <v>67846</v>
      </c>
      <c r="B878" s="67">
        <f>14.8102 * CHOOSE(CONTROL!$C$22, $C$13, 100%, $E$13)</f>
        <v>14.8102</v>
      </c>
      <c r="C878" s="67">
        <f>14.8102 * CHOOSE(CONTROL!$C$22, $C$13, 100%, $E$13)</f>
        <v>14.8102</v>
      </c>
      <c r="D878" s="67">
        <f>14.814 * CHOOSE(CONTROL!$C$22, $C$13, 100%, $E$13)</f>
        <v>14.814</v>
      </c>
      <c r="E878" s="68">
        <f>16.7726 * CHOOSE(CONTROL!$C$22, $C$13, 100%, $E$13)</f>
        <v>16.772600000000001</v>
      </c>
      <c r="F878" s="68">
        <f>16.7726 * CHOOSE(CONTROL!$C$22, $C$13, 100%, $E$13)</f>
        <v>16.772600000000001</v>
      </c>
      <c r="G878" s="68">
        <f>16.7773 * CHOOSE(CONTROL!$C$22, $C$13, 100%, $E$13)</f>
        <v>16.7773</v>
      </c>
      <c r="H878" s="68">
        <f>26.1333* CHOOSE(CONTROL!$C$22, $C$13, 100%, $E$13)</f>
        <v>26.133299999999998</v>
      </c>
      <c r="I878" s="68">
        <f>26.1381 * CHOOSE(CONTROL!$C$22, $C$13, 100%, $E$13)</f>
        <v>26.138100000000001</v>
      </c>
      <c r="J878" s="68">
        <f>16.7726 * CHOOSE(CONTROL!$C$22, $C$13, 100%, $E$13)</f>
        <v>16.772600000000001</v>
      </c>
      <c r="K878" s="68">
        <f>16.7773 * CHOOSE(CONTROL!$C$22, $C$13, 100%, $E$13)</f>
        <v>16.7773</v>
      </c>
    </row>
    <row r="879" spans="1:11" ht="15">
      <c r="A879" s="13">
        <v>67877</v>
      </c>
      <c r="B879" s="67">
        <f>14.8132 * CHOOSE(CONTROL!$C$22, $C$13, 100%, $E$13)</f>
        <v>14.8132</v>
      </c>
      <c r="C879" s="67">
        <f>14.8132 * CHOOSE(CONTROL!$C$22, $C$13, 100%, $E$13)</f>
        <v>14.8132</v>
      </c>
      <c r="D879" s="67">
        <f>14.8171 * CHOOSE(CONTROL!$C$22, $C$13, 100%, $E$13)</f>
        <v>14.8171</v>
      </c>
      <c r="E879" s="68">
        <f>16.837 * CHOOSE(CONTROL!$C$22, $C$13, 100%, $E$13)</f>
        <v>16.837</v>
      </c>
      <c r="F879" s="68">
        <f>16.837 * CHOOSE(CONTROL!$C$22, $C$13, 100%, $E$13)</f>
        <v>16.837</v>
      </c>
      <c r="G879" s="68">
        <f>16.8418 * CHOOSE(CONTROL!$C$22, $C$13, 100%, $E$13)</f>
        <v>16.841799999999999</v>
      </c>
      <c r="H879" s="68">
        <f>26.1878* CHOOSE(CONTROL!$C$22, $C$13, 100%, $E$13)</f>
        <v>26.187799999999999</v>
      </c>
      <c r="I879" s="68">
        <f>26.1925 * CHOOSE(CONTROL!$C$22, $C$13, 100%, $E$13)</f>
        <v>26.192499999999999</v>
      </c>
      <c r="J879" s="68">
        <f>16.837 * CHOOSE(CONTROL!$C$22, $C$13, 100%, $E$13)</f>
        <v>16.837</v>
      </c>
      <c r="K879" s="68">
        <f>16.8418 * CHOOSE(CONTROL!$C$22, $C$13, 100%, $E$13)</f>
        <v>16.841799999999999</v>
      </c>
    </row>
    <row r="880" spans="1:11" ht="15">
      <c r="A880" s="13">
        <v>67907</v>
      </c>
      <c r="B880" s="67">
        <f>14.8132 * CHOOSE(CONTROL!$C$22, $C$13, 100%, $E$13)</f>
        <v>14.8132</v>
      </c>
      <c r="C880" s="67">
        <f>14.8132 * CHOOSE(CONTROL!$C$22, $C$13, 100%, $E$13)</f>
        <v>14.8132</v>
      </c>
      <c r="D880" s="67">
        <f>14.8171 * CHOOSE(CONTROL!$C$22, $C$13, 100%, $E$13)</f>
        <v>14.8171</v>
      </c>
      <c r="E880" s="68">
        <f>16.6812 * CHOOSE(CONTROL!$C$22, $C$13, 100%, $E$13)</f>
        <v>16.6812</v>
      </c>
      <c r="F880" s="68">
        <f>16.6812 * CHOOSE(CONTROL!$C$22, $C$13, 100%, $E$13)</f>
        <v>16.6812</v>
      </c>
      <c r="G880" s="68">
        <f>16.686 * CHOOSE(CONTROL!$C$22, $C$13, 100%, $E$13)</f>
        <v>16.686</v>
      </c>
      <c r="H880" s="68">
        <f>26.2423* CHOOSE(CONTROL!$C$22, $C$13, 100%, $E$13)</f>
        <v>26.2423</v>
      </c>
      <c r="I880" s="68">
        <f>26.2471 * CHOOSE(CONTROL!$C$22, $C$13, 100%, $E$13)</f>
        <v>26.2471</v>
      </c>
      <c r="J880" s="68">
        <f>16.6812 * CHOOSE(CONTROL!$C$22, $C$13, 100%, $E$13)</f>
        <v>16.6812</v>
      </c>
      <c r="K880" s="68">
        <f>16.686 * CHOOSE(CONTROL!$C$22, $C$13, 100%, $E$13)</f>
        <v>16.686</v>
      </c>
    </row>
    <row r="881" spans="1:11" ht="15">
      <c r="A881" s="13">
        <v>67938</v>
      </c>
      <c r="B881" s="67">
        <f>14.7854 * CHOOSE(CONTROL!$C$22, $C$13, 100%, $E$13)</f>
        <v>14.785399999999999</v>
      </c>
      <c r="C881" s="67">
        <f>14.7854 * CHOOSE(CONTROL!$C$22, $C$13, 100%, $E$13)</f>
        <v>14.785399999999999</v>
      </c>
      <c r="D881" s="67">
        <f>14.7893 * CHOOSE(CONTROL!$C$22, $C$13, 100%, $E$13)</f>
        <v>14.789300000000001</v>
      </c>
      <c r="E881" s="68">
        <f>16.7771 * CHOOSE(CONTROL!$C$22, $C$13, 100%, $E$13)</f>
        <v>16.777100000000001</v>
      </c>
      <c r="F881" s="68">
        <f>16.7771 * CHOOSE(CONTROL!$C$22, $C$13, 100%, $E$13)</f>
        <v>16.777100000000001</v>
      </c>
      <c r="G881" s="68">
        <f>16.7819 * CHOOSE(CONTROL!$C$22, $C$13, 100%, $E$13)</f>
        <v>16.7819</v>
      </c>
      <c r="H881" s="68">
        <f>26.052* CHOOSE(CONTROL!$C$22, $C$13, 100%, $E$13)</f>
        <v>26.052</v>
      </c>
      <c r="I881" s="68">
        <f>26.0568 * CHOOSE(CONTROL!$C$22, $C$13, 100%, $E$13)</f>
        <v>26.056799999999999</v>
      </c>
      <c r="J881" s="68">
        <f>16.7771 * CHOOSE(CONTROL!$C$22, $C$13, 100%, $E$13)</f>
        <v>16.777100000000001</v>
      </c>
      <c r="K881" s="68">
        <f>16.7819 * CHOOSE(CONTROL!$C$22, $C$13, 100%, $E$13)</f>
        <v>16.7819</v>
      </c>
    </row>
    <row r="882" spans="1:11" ht="15">
      <c r="A882" s="13">
        <v>67969</v>
      </c>
      <c r="B882" s="67">
        <f>14.7824 * CHOOSE(CONTROL!$C$22, $C$13, 100%, $E$13)</f>
        <v>14.782400000000001</v>
      </c>
      <c r="C882" s="67">
        <f>14.7824 * CHOOSE(CONTROL!$C$22, $C$13, 100%, $E$13)</f>
        <v>14.782400000000001</v>
      </c>
      <c r="D882" s="67">
        <f>14.7863 * CHOOSE(CONTROL!$C$22, $C$13, 100%, $E$13)</f>
        <v>14.786300000000001</v>
      </c>
      <c r="E882" s="68">
        <f>16.4756 * CHOOSE(CONTROL!$C$22, $C$13, 100%, $E$13)</f>
        <v>16.4756</v>
      </c>
      <c r="F882" s="68">
        <f>16.4756 * CHOOSE(CONTROL!$C$22, $C$13, 100%, $E$13)</f>
        <v>16.4756</v>
      </c>
      <c r="G882" s="68">
        <f>16.4804 * CHOOSE(CONTROL!$C$22, $C$13, 100%, $E$13)</f>
        <v>16.480399999999999</v>
      </c>
      <c r="H882" s="68">
        <f>26.1063* CHOOSE(CONTROL!$C$22, $C$13, 100%, $E$13)</f>
        <v>26.106300000000001</v>
      </c>
      <c r="I882" s="68">
        <f>26.1111 * CHOOSE(CONTROL!$C$22, $C$13, 100%, $E$13)</f>
        <v>26.1111</v>
      </c>
      <c r="J882" s="68">
        <f>16.4756 * CHOOSE(CONTROL!$C$22, $C$13, 100%, $E$13)</f>
        <v>16.4756</v>
      </c>
      <c r="K882" s="68">
        <f>16.4804 * CHOOSE(CONTROL!$C$22, $C$13, 100%, $E$13)</f>
        <v>16.480399999999999</v>
      </c>
    </row>
    <row r="883" spans="1:11" ht="15">
      <c r="A883" s="13">
        <v>67997</v>
      </c>
      <c r="B883" s="67">
        <f>14.7794 * CHOOSE(CONTROL!$C$22, $C$13, 100%, $E$13)</f>
        <v>14.779400000000001</v>
      </c>
      <c r="C883" s="67">
        <f>14.7794 * CHOOSE(CONTROL!$C$22, $C$13, 100%, $E$13)</f>
        <v>14.779400000000001</v>
      </c>
      <c r="D883" s="67">
        <f>14.7832 * CHOOSE(CONTROL!$C$22, $C$13, 100%, $E$13)</f>
        <v>14.783200000000001</v>
      </c>
      <c r="E883" s="68">
        <f>16.7095 * CHOOSE(CONTROL!$C$22, $C$13, 100%, $E$13)</f>
        <v>16.709499999999998</v>
      </c>
      <c r="F883" s="68">
        <f>16.7095 * CHOOSE(CONTROL!$C$22, $C$13, 100%, $E$13)</f>
        <v>16.709499999999998</v>
      </c>
      <c r="G883" s="68">
        <f>16.7143 * CHOOSE(CONTROL!$C$22, $C$13, 100%, $E$13)</f>
        <v>16.714300000000001</v>
      </c>
      <c r="H883" s="68">
        <f>26.1607* CHOOSE(CONTROL!$C$22, $C$13, 100%, $E$13)</f>
        <v>26.160699999999999</v>
      </c>
      <c r="I883" s="68">
        <f>26.1655 * CHOOSE(CONTROL!$C$22, $C$13, 100%, $E$13)</f>
        <v>26.165500000000002</v>
      </c>
      <c r="J883" s="68">
        <f>16.7095 * CHOOSE(CONTROL!$C$22, $C$13, 100%, $E$13)</f>
        <v>16.709499999999998</v>
      </c>
      <c r="K883" s="68">
        <f>16.7143 * CHOOSE(CONTROL!$C$22, $C$13, 100%, $E$13)</f>
        <v>16.714300000000001</v>
      </c>
    </row>
    <row r="884" spans="1:11" ht="15">
      <c r="A884" s="13">
        <v>68028</v>
      </c>
      <c r="B884" s="67">
        <f>14.786 * CHOOSE(CONTROL!$C$22, $C$13, 100%, $E$13)</f>
        <v>14.786</v>
      </c>
      <c r="C884" s="67">
        <f>14.786 * CHOOSE(CONTROL!$C$22, $C$13, 100%, $E$13)</f>
        <v>14.786</v>
      </c>
      <c r="D884" s="67">
        <f>14.7899 * CHOOSE(CONTROL!$C$22, $C$13, 100%, $E$13)</f>
        <v>14.789899999999999</v>
      </c>
      <c r="E884" s="68">
        <f>16.9588 * CHOOSE(CONTROL!$C$22, $C$13, 100%, $E$13)</f>
        <v>16.9588</v>
      </c>
      <c r="F884" s="68">
        <f>16.9588 * CHOOSE(CONTROL!$C$22, $C$13, 100%, $E$13)</f>
        <v>16.9588</v>
      </c>
      <c r="G884" s="68">
        <f>16.9636 * CHOOSE(CONTROL!$C$22, $C$13, 100%, $E$13)</f>
        <v>16.9636</v>
      </c>
      <c r="H884" s="68">
        <f>26.2152* CHOOSE(CONTROL!$C$22, $C$13, 100%, $E$13)</f>
        <v>26.215199999999999</v>
      </c>
      <c r="I884" s="68">
        <f>26.22 * CHOOSE(CONTROL!$C$22, $C$13, 100%, $E$13)</f>
        <v>26.22</v>
      </c>
      <c r="J884" s="68">
        <f>16.9588 * CHOOSE(CONTROL!$C$22, $C$13, 100%, $E$13)</f>
        <v>16.9588</v>
      </c>
      <c r="K884" s="68">
        <f>16.9636 * CHOOSE(CONTROL!$C$22, $C$13, 100%, $E$13)</f>
        <v>16.9636</v>
      </c>
    </row>
    <row r="885" spans="1:11" ht="15">
      <c r="A885" s="13">
        <v>68058</v>
      </c>
      <c r="B885" s="67">
        <f>14.786 * CHOOSE(CONTROL!$C$22, $C$13, 100%, $E$13)</f>
        <v>14.786</v>
      </c>
      <c r="C885" s="67">
        <f>14.786 * CHOOSE(CONTROL!$C$22, $C$13, 100%, $E$13)</f>
        <v>14.786</v>
      </c>
      <c r="D885" s="67">
        <f>14.7915 * CHOOSE(CONTROL!$C$22, $C$13, 100%, $E$13)</f>
        <v>14.791499999999999</v>
      </c>
      <c r="E885" s="68">
        <f>17.0538 * CHOOSE(CONTROL!$C$22, $C$13, 100%, $E$13)</f>
        <v>17.053799999999999</v>
      </c>
      <c r="F885" s="68">
        <f>17.0538 * CHOOSE(CONTROL!$C$22, $C$13, 100%, $E$13)</f>
        <v>17.053799999999999</v>
      </c>
      <c r="G885" s="68">
        <f>17.0606 * CHOOSE(CONTROL!$C$22, $C$13, 100%, $E$13)</f>
        <v>17.060600000000001</v>
      </c>
      <c r="H885" s="68">
        <f>26.2698* CHOOSE(CONTROL!$C$22, $C$13, 100%, $E$13)</f>
        <v>26.2698</v>
      </c>
      <c r="I885" s="68">
        <f>26.2765 * CHOOSE(CONTROL!$C$22, $C$13, 100%, $E$13)</f>
        <v>26.276499999999999</v>
      </c>
      <c r="J885" s="68">
        <f>17.0538 * CHOOSE(CONTROL!$C$22, $C$13, 100%, $E$13)</f>
        <v>17.053799999999999</v>
      </c>
      <c r="K885" s="68">
        <f>17.0606 * CHOOSE(CONTROL!$C$22, $C$13, 100%, $E$13)</f>
        <v>17.060600000000001</v>
      </c>
    </row>
    <row r="886" spans="1:11" ht="15">
      <c r="A886" s="13">
        <v>68089</v>
      </c>
      <c r="B886" s="67">
        <f>14.7921 * CHOOSE(CONTROL!$C$22, $C$13, 100%, $E$13)</f>
        <v>14.7921</v>
      </c>
      <c r="C886" s="67">
        <f>14.7921 * CHOOSE(CONTROL!$C$22, $C$13, 100%, $E$13)</f>
        <v>14.7921</v>
      </c>
      <c r="D886" s="67">
        <f>14.7976 * CHOOSE(CONTROL!$C$22, $C$13, 100%, $E$13)</f>
        <v>14.797599999999999</v>
      </c>
      <c r="E886" s="68">
        <f>16.963 * CHOOSE(CONTROL!$C$22, $C$13, 100%, $E$13)</f>
        <v>16.963000000000001</v>
      </c>
      <c r="F886" s="68">
        <f>16.963 * CHOOSE(CONTROL!$C$22, $C$13, 100%, $E$13)</f>
        <v>16.963000000000001</v>
      </c>
      <c r="G886" s="68">
        <f>16.9698 * CHOOSE(CONTROL!$C$22, $C$13, 100%, $E$13)</f>
        <v>16.969799999999999</v>
      </c>
      <c r="H886" s="68">
        <f>26.3245* CHOOSE(CONTROL!$C$22, $C$13, 100%, $E$13)</f>
        <v>26.3245</v>
      </c>
      <c r="I886" s="68">
        <f>26.3313 * CHOOSE(CONTROL!$C$22, $C$13, 100%, $E$13)</f>
        <v>26.331299999999999</v>
      </c>
      <c r="J886" s="68">
        <f>16.963 * CHOOSE(CONTROL!$C$22, $C$13, 100%, $E$13)</f>
        <v>16.963000000000001</v>
      </c>
      <c r="K886" s="68">
        <f>16.9698 * CHOOSE(CONTROL!$C$22, $C$13, 100%, $E$13)</f>
        <v>16.969799999999999</v>
      </c>
    </row>
    <row r="887" spans="1:11" ht="15">
      <c r="A887" s="13">
        <v>68119</v>
      </c>
      <c r="B887" s="67">
        <f>15.016 * CHOOSE(CONTROL!$C$22, $C$13, 100%, $E$13)</f>
        <v>15.016</v>
      </c>
      <c r="C887" s="67">
        <f>15.016 * CHOOSE(CONTROL!$C$22, $C$13, 100%, $E$13)</f>
        <v>15.016</v>
      </c>
      <c r="D887" s="67">
        <f>15.0215 * CHOOSE(CONTROL!$C$22, $C$13, 100%, $E$13)</f>
        <v>15.0215</v>
      </c>
      <c r="E887" s="68">
        <f>17.2322 * CHOOSE(CONTROL!$C$22, $C$13, 100%, $E$13)</f>
        <v>17.232199999999999</v>
      </c>
      <c r="F887" s="68">
        <f>17.2322 * CHOOSE(CONTROL!$C$22, $C$13, 100%, $E$13)</f>
        <v>17.232199999999999</v>
      </c>
      <c r="G887" s="68">
        <f>17.2389 * CHOOSE(CONTROL!$C$22, $C$13, 100%, $E$13)</f>
        <v>17.238900000000001</v>
      </c>
      <c r="H887" s="68">
        <f>26.3794* CHOOSE(CONTROL!$C$22, $C$13, 100%, $E$13)</f>
        <v>26.3794</v>
      </c>
      <c r="I887" s="68">
        <f>26.3861 * CHOOSE(CONTROL!$C$22, $C$13, 100%, $E$13)</f>
        <v>26.386099999999999</v>
      </c>
      <c r="J887" s="68">
        <f>17.2322 * CHOOSE(CONTROL!$C$22, $C$13, 100%, $E$13)</f>
        <v>17.232199999999999</v>
      </c>
      <c r="K887" s="68">
        <f>17.2389 * CHOOSE(CONTROL!$C$22, $C$13, 100%, $E$13)</f>
        <v>17.238900000000001</v>
      </c>
    </row>
    <row r="888" spans="1:11" ht="15">
      <c r="A888" s="13">
        <v>68150</v>
      </c>
      <c r="B888" s="67">
        <f>15.0226 * CHOOSE(CONTROL!$C$22, $C$13, 100%, $E$13)</f>
        <v>15.022600000000001</v>
      </c>
      <c r="C888" s="67">
        <f>15.0226 * CHOOSE(CONTROL!$C$22, $C$13, 100%, $E$13)</f>
        <v>15.022600000000001</v>
      </c>
      <c r="D888" s="67">
        <f>15.0282 * CHOOSE(CONTROL!$C$22, $C$13, 100%, $E$13)</f>
        <v>15.0282</v>
      </c>
      <c r="E888" s="68">
        <f>16.9517 * CHOOSE(CONTROL!$C$22, $C$13, 100%, $E$13)</f>
        <v>16.951699999999999</v>
      </c>
      <c r="F888" s="68">
        <f>16.9517 * CHOOSE(CONTROL!$C$22, $C$13, 100%, $E$13)</f>
        <v>16.951699999999999</v>
      </c>
      <c r="G888" s="68">
        <f>16.9584 * CHOOSE(CONTROL!$C$22, $C$13, 100%, $E$13)</f>
        <v>16.958400000000001</v>
      </c>
      <c r="H888" s="68">
        <f>26.4343* CHOOSE(CONTROL!$C$22, $C$13, 100%, $E$13)</f>
        <v>26.4343</v>
      </c>
      <c r="I888" s="68">
        <f>26.4411 * CHOOSE(CONTROL!$C$22, $C$13, 100%, $E$13)</f>
        <v>26.441099999999999</v>
      </c>
      <c r="J888" s="68">
        <f>16.9517 * CHOOSE(CONTROL!$C$22, $C$13, 100%, $E$13)</f>
        <v>16.951699999999999</v>
      </c>
      <c r="K888" s="68">
        <f>16.9584 * CHOOSE(CONTROL!$C$22, $C$13, 100%, $E$13)</f>
        <v>16.958400000000001</v>
      </c>
    </row>
    <row r="889" spans="1:11" ht="15">
      <c r="A889" s="13">
        <v>68181</v>
      </c>
      <c r="B889" s="67">
        <f>15.0196 * CHOOSE(CONTROL!$C$22, $C$13, 100%, $E$13)</f>
        <v>15.019600000000001</v>
      </c>
      <c r="C889" s="67">
        <f>15.0196 * CHOOSE(CONTROL!$C$22, $C$13, 100%, $E$13)</f>
        <v>15.019600000000001</v>
      </c>
      <c r="D889" s="67">
        <f>15.0251 * CHOOSE(CONTROL!$C$22, $C$13, 100%, $E$13)</f>
        <v>15.0251</v>
      </c>
      <c r="E889" s="68">
        <f>16.9179 * CHOOSE(CONTROL!$C$22, $C$13, 100%, $E$13)</f>
        <v>16.917899999999999</v>
      </c>
      <c r="F889" s="68">
        <f>16.9179 * CHOOSE(CONTROL!$C$22, $C$13, 100%, $E$13)</f>
        <v>16.917899999999999</v>
      </c>
      <c r="G889" s="68">
        <f>16.9246 * CHOOSE(CONTROL!$C$22, $C$13, 100%, $E$13)</f>
        <v>16.924600000000002</v>
      </c>
      <c r="H889" s="68">
        <f>26.4894* CHOOSE(CONTROL!$C$22, $C$13, 100%, $E$13)</f>
        <v>26.4894</v>
      </c>
      <c r="I889" s="68">
        <f>26.4961 * CHOOSE(CONTROL!$C$22, $C$13, 100%, $E$13)</f>
        <v>26.496099999999998</v>
      </c>
      <c r="J889" s="68">
        <f>16.9179 * CHOOSE(CONTROL!$C$22, $C$13, 100%, $E$13)</f>
        <v>16.917899999999999</v>
      </c>
      <c r="K889" s="68">
        <f>16.9246 * CHOOSE(CONTROL!$C$22, $C$13, 100%, $E$13)</f>
        <v>16.924600000000002</v>
      </c>
    </row>
    <row r="890" spans="1:11" ht="15">
      <c r="A890" s="13">
        <v>68211</v>
      </c>
      <c r="B890" s="67">
        <f>15.0501 * CHOOSE(CONTROL!$C$22, $C$13, 100%, $E$13)</f>
        <v>15.0501</v>
      </c>
      <c r="C890" s="67">
        <f>15.0501 * CHOOSE(CONTROL!$C$22, $C$13, 100%, $E$13)</f>
        <v>15.0501</v>
      </c>
      <c r="D890" s="67">
        <f>15.054 * CHOOSE(CONTROL!$C$22, $C$13, 100%, $E$13)</f>
        <v>15.054</v>
      </c>
      <c r="E890" s="68">
        <f>17.0312 * CHOOSE(CONTROL!$C$22, $C$13, 100%, $E$13)</f>
        <v>17.031199999999998</v>
      </c>
      <c r="F890" s="68">
        <f>17.0312 * CHOOSE(CONTROL!$C$22, $C$13, 100%, $E$13)</f>
        <v>17.031199999999998</v>
      </c>
      <c r="G890" s="68">
        <f>17.036 * CHOOSE(CONTROL!$C$22, $C$13, 100%, $E$13)</f>
        <v>17.036000000000001</v>
      </c>
      <c r="H890" s="68">
        <f>26.5446* CHOOSE(CONTROL!$C$22, $C$13, 100%, $E$13)</f>
        <v>26.544599999999999</v>
      </c>
      <c r="I890" s="68">
        <f>26.5494 * CHOOSE(CONTROL!$C$22, $C$13, 100%, $E$13)</f>
        <v>26.549399999999999</v>
      </c>
      <c r="J890" s="68">
        <f>17.0312 * CHOOSE(CONTROL!$C$22, $C$13, 100%, $E$13)</f>
        <v>17.031199999999998</v>
      </c>
      <c r="K890" s="68">
        <f>17.036 * CHOOSE(CONTROL!$C$22, $C$13, 100%, $E$13)</f>
        <v>17.036000000000001</v>
      </c>
    </row>
    <row r="891" spans="1:11" ht="15">
      <c r="A891" s="13">
        <v>68242</v>
      </c>
      <c r="B891" s="67">
        <f>15.0532 * CHOOSE(CONTROL!$C$22, $C$13, 100%, $E$13)</f>
        <v>15.0532</v>
      </c>
      <c r="C891" s="67">
        <f>15.0532 * CHOOSE(CONTROL!$C$22, $C$13, 100%, $E$13)</f>
        <v>15.0532</v>
      </c>
      <c r="D891" s="67">
        <f>15.057 * CHOOSE(CONTROL!$C$22, $C$13, 100%, $E$13)</f>
        <v>15.057</v>
      </c>
      <c r="E891" s="68">
        <f>17.0967 * CHOOSE(CONTROL!$C$22, $C$13, 100%, $E$13)</f>
        <v>17.096699999999998</v>
      </c>
      <c r="F891" s="68">
        <f>17.0967 * CHOOSE(CONTROL!$C$22, $C$13, 100%, $E$13)</f>
        <v>17.096699999999998</v>
      </c>
      <c r="G891" s="68">
        <f>17.1015 * CHOOSE(CONTROL!$C$22, $C$13, 100%, $E$13)</f>
        <v>17.101500000000001</v>
      </c>
      <c r="H891" s="68">
        <f>26.5999* CHOOSE(CONTROL!$C$22, $C$13, 100%, $E$13)</f>
        <v>26.599900000000002</v>
      </c>
      <c r="I891" s="68">
        <f>26.6047 * CHOOSE(CONTROL!$C$22, $C$13, 100%, $E$13)</f>
        <v>26.604700000000001</v>
      </c>
      <c r="J891" s="68">
        <f>17.0967 * CHOOSE(CONTROL!$C$22, $C$13, 100%, $E$13)</f>
        <v>17.096699999999998</v>
      </c>
      <c r="K891" s="68">
        <f>17.1015 * CHOOSE(CONTROL!$C$22, $C$13, 100%, $E$13)</f>
        <v>17.101500000000001</v>
      </c>
    </row>
    <row r="892" spans="1:11" ht="15">
      <c r="A892" s="13">
        <v>68272</v>
      </c>
      <c r="B892" s="67">
        <f>15.0532 * CHOOSE(CONTROL!$C$22, $C$13, 100%, $E$13)</f>
        <v>15.0532</v>
      </c>
      <c r="C892" s="67">
        <f>15.0532 * CHOOSE(CONTROL!$C$22, $C$13, 100%, $E$13)</f>
        <v>15.0532</v>
      </c>
      <c r="D892" s="67">
        <f>15.057 * CHOOSE(CONTROL!$C$22, $C$13, 100%, $E$13)</f>
        <v>15.057</v>
      </c>
      <c r="E892" s="68">
        <f>16.9383 * CHOOSE(CONTROL!$C$22, $C$13, 100%, $E$13)</f>
        <v>16.938300000000002</v>
      </c>
      <c r="F892" s="68">
        <f>16.9383 * CHOOSE(CONTROL!$C$22, $C$13, 100%, $E$13)</f>
        <v>16.938300000000002</v>
      </c>
      <c r="G892" s="68">
        <f>16.943 * CHOOSE(CONTROL!$C$22, $C$13, 100%, $E$13)</f>
        <v>16.943000000000001</v>
      </c>
      <c r="H892" s="68">
        <f>26.6553* CHOOSE(CONTROL!$C$22, $C$13, 100%, $E$13)</f>
        <v>26.6553</v>
      </c>
      <c r="I892" s="68">
        <f>26.6601 * CHOOSE(CONTROL!$C$22, $C$13, 100%, $E$13)</f>
        <v>26.6601</v>
      </c>
      <c r="J892" s="68">
        <f>16.9383 * CHOOSE(CONTROL!$C$22, $C$13, 100%, $E$13)</f>
        <v>16.938300000000002</v>
      </c>
      <c r="K892" s="68">
        <f>16.943 * CHOOSE(CONTROL!$C$22, $C$13, 100%, $E$13)</f>
        <v>16.943000000000001</v>
      </c>
    </row>
    <row r="893" spans="1:11" ht="15">
      <c r="A893" s="13">
        <v>68303</v>
      </c>
      <c r="B893" s="67">
        <f>15.021 * CHOOSE(CONTROL!$C$22, $C$13, 100%, $E$13)</f>
        <v>15.021000000000001</v>
      </c>
      <c r="C893" s="67">
        <f>15.021 * CHOOSE(CONTROL!$C$22, $C$13, 100%, $E$13)</f>
        <v>15.021000000000001</v>
      </c>
      <c r="D893" s="67">
        <f>15.0249 * CHOOSE(CONTROL!$C$22, $C$13, 100%, $E$13)</f>
        <v>15.024900000000001</v>
      </c>
      <c r="E893" s="68">
        <f>17.0319 * CHOOSE(CONTROL!$C$22, $C$13, 100%, $E$13)</f>
        <v>17.0319</v>
      </c>
      <c r="F893" s="68">
        <f>17.0319 * CHOOSE(CONTROL!$C$22, $C$13, 100%, $E$13)</f>
        <v>17.0319</v>
      </c>
      <c r="G893" s="68">
        <f>17.0366 * CHOOSE(CONTROL!$C$22, $C$13, 100%, $E$13)</f>
        <v>17.0366</v>
      </c>
      <c r="H893" s="68">
        <f>26.4557* CHOOSE(CONTROL!$C$22, $C$13, 100%, $E$13)</f>
        <v>26.4557</v>
      </c>
      <c r="I893" s="68">
        <f>26.4604 * CHOOSE(CONTROL!$C$22, $C$13, 100%, $E$13)</f>
        <v>26.4604</v>
      </c>
      <c r="J893" s="68">
        <f>17.0319 * CHOOSE(CONTROL!$C$22, $C$13, 100%, $E$13)</f>
        <v>17.0319</v>
      </c>
      <c r="K893" s="68">
        <f>17.0366 * CHOOSE(CONTROL!$C$22, $C$13, 100%, $E$13)</f>
        <v>17.0366</v>
      </c>
    </row>
    <row r="894" spans="1:11" ht="15">
      <c r="A894" s="13">
        <v>68334</v>
      </c>
      <c r="B894" s="67">
        <f>15.018 * CHOOSE(CONTROL!$C$22, $C$13, 100%, $E$13)</f>
        <v>15.018000000000001</v>
      </c>
      <c r="C894" s="67">
        <f>15.018 * CHOOSE(CONTROL!$C$22, $C$13, 100%, $E$13)</f>
        <v>15.018000000000001</v>
      </c>
      <c r="D894" s="67">
        <f>15.0218 * CHOOSE(CONTROL!$C$22, $C$13, 100%, $E$13)</f>
        <v>15.021800000000001</v>
      </c>
      <c r="E894" s="68">
        <f>16.7254 * CHOOSE(CONTROL!$C$22, $C$13, 100%, $E$13)</f>
        <v>16.7254</v>
      </c>
      <c r="F894" s="68">
        <f>16.7254 * CHOOSE(CONTROL!$C$22, $C$13, 100%, $E$13)</f>
        <v>16.7254</v>
      </c>
      <c r="G894" s="68">
        <f>16.7302 * CHOOSE(CONTROL!$C$22, $C$13, 100%, $E$13)</f>
        <v>16.7302</v>
      </c>
      <c r="H894" s="68">
        <f>26.5108* CHOOSE(CONTROL!$C$22, $C$13, 100%, $E$13)</f>
        <v>26.5108</v>
      </c>
      <c r="I894" s="68">
        <f>26.5155 * CHOOSE(CONTROL!$C$22, $C$13, 100%, $E$13)</f>
        <v>26.515499999999999</v>
      </c>
      <c r="J894" s="68">
        <f>16.7254 * CHOOSE(CONTROL!$C$22, $C$13, 100%, $E$13)</f>
        <v>16.7254</v>
      </c>
      <c r="K894" s="68">
        <f>16.7302 * CHOOSE(CONTROL!$C$22, $C$13, 100%, $E$13)</f>
        <v>16.7302</v>
      </c>
    </row>
    <row r="895" spans="1:11" ht="15">
      <c r="A895" s="13">
        <v>68362</v>
      </c>
      <c r="B895" s="67">
        <f>15.0149 * CHOOSE(CONTROL!$C$22, $C$13, 100%, $E$13)</f>
        <v>15.014900000000001</v>
      </c>
      <c r="C895" s="67">
        <f>15.0149 * CHOOSE(CONTROL!$C$22, $C$13, 100%, $E$13)</f>
        <v>15.014900000000001</v>
      </c>
      <c r="D895" s="67">
        <f>15.0188 * CHOOSE(CONTROL!$C$22, $C$13, 100%, $E$13)</f>
        <v>15.018800000000001</v>
      </c>
      <c r="E895" s="68">
        <f>16.9632 * CHOOSE(CONTROL!$C$22, $C$13, 100%, $E$13)</f>
        <v>16.963200000000001</v>
      </c>
      <c r="F895" s="68">
        <f>16.9632 * CHOOSE(CONTROL!$C$22, $C$13, 100%, $E$13)</f>
        <v>16.963200000000001</v>
      </c>
      <c r="G895" s="68">
        <f>16.968 * CHOOSE(CONTROL!$C$22, $C$13, 100%, $E$13)</f>
        <v>16.968</v>
      </c>
      <c r="H895" s="68">
        <f>26.566* CHOOSE(CONTROL!$C$22, $C$13, 100%, $E$13)</f>
        <v>26.565999999999999</v>
      </c>
      <c r="I895" s="68">
        <f>26.5708 * CHOOSE(CONTROL!$C$22, $C$13, 100%, $E$13)</f>
        <v>26.570799999999998</v>
      </c>
      <c r="J895" s="68">
        <f>16.9632 * CHOOSE(CONTROL!$C$22, $C$13, 100%, $E$13)</f>
        <v>16.963200000000001</v>
      </c>
      <c r="K895" s="68">
        <f>16.968 * CHOOSE(CONTROL!$C$22, $C$13, 100%, $E$13)</f>
        <v>16.968</v>
      </c>
    </row>
    <row r="896" spans="1:11" ht="15">
      <c r="A896" s="13">
        <v>68393</v>
      </c>
      <c r="B896" s="67">
        <f>15.0218 * CHOOSE(CONTROL!$C$22, $C$13, 100%, $E$13)</f>
        <v>15.021800000000001</v>
      </c>
      <c r="C896" s="67">
        <f>15.0218 * CHOOSE(CONTROL!$C$22, $C$13, 100%, $E$13)</f>
        <v>15.021800000000001</v>
      </c>
      <c r="D896" s="67">
        <f>15.0257 * CHOOSE(CONTROL!$C$22, $C$13, 100%, $E$13)</f>
        <v>15.025700000000001</v>
      </c>
      <c r="E896" s="68">
        <f>17.2166 * CHOOSE(CONTROL!$C$22, $C$13, 100%, $E$13)</f>
        <v>17.2166</v>
      </c>
      <c r="F896" s="68">
        <f>17.2166 * CHOOSE(CONTROL!$C$22, $C$13, 100%, $E$13)</f>
        <v>17.2166</v>
      </c>
      <c r="G896" s="68">
        <f>17.2214 * CHOOSE(CONTROL!$C$22, $C$13, 100%, $E$13)</f>
        <v>17.221399999999999</v>
      </c>
      <c r="H896" s="68">
        <f>26.6214* CHOOSE(CONTROL!$C$22, $C$13, 100%, $E$13)</f>
        <v>26.621400000000001</v>
      </c>
      <c r="I896" s="68">
        <f>26.6261 * CHOOSE(CONTROL!$C$22, $C$13, 100%, $E$13)</f>
        <v>26.626100000000001</v>
      </c>
      <c r="J896" s="68">
        <f>17.2166 * CHOOSE(CONTROL!$C$22, $C$13, 100%, $E$13)</f>
        <v>17.2166</v>
      </c>
      <c r="K896" s="68">
        <f>17.2214 * CHOOSE(CONTROL!$C$22, $C$13, 100%, $E$13)</f>
        <v>17.221399999999999</v>
      </c>
    </row>
    <row r="897" spans="1:11" ht="15">
      <c r="A897" s="13">
        <v>68423</v>
      </c>
      <c r="B897" s="67">
        <f>15.0218 * CHOOSE(CONTROL!$C$22, $C$13, 100%, $E$13)</f>
        <v>15.021800000000001</v>
      </c>
      <c r="C897" s="67">
        <f>15.0218 * CHOOSE(CONTROL!$C$22, $C$13, 100%, $E$13)</f>
        <v>15.021800000000001</v>
      </c>
      <c r="D897" s="67">
        <f>15.0273 * CHOOSE(CONTROL!$C$22, $C$13, 100%, $E$13)</f>
        <v>15.0273</v>
      </c>
      <c r="E897" s="68">
        <f>17.3133 * CHOOSE(CONTROL!$C$22, $C$13, 100%, $E$13)</f>
        <v>17.313300000000002</v>
      </c>
      <c r="F897" s="68">
        <f>17.3133 * CHOOSE(CONTROL!$C$22, $C$13, 100%, $E$13)</f>
        <v>17.313300000000002</v>
      </c>
      <c r="G897" s="68">
        <f>17.32 * CHOOSE(CONTROL!$C$22, $C$13, 100%, $E$13)</f>
        <v>17.32</v>
      </c>
      <c r="H897" s="68">
        <f>26.6768* CHOOSE(CONTROL!$C$22, $C$13, 100%, $E$13)</f>
        <v>26.6768</v>
      </c>
      <c r="I897" s="68">
        <f>26.6836 * CHOOSE(CONTROL!$C$22, $C$13, 100%, $E$13)</f>
        <v>26.683599999999998</v>
      </c>
      <c r="J897" s="68">
        <f>17.3133 * CHOOSE(CONTROL!$C$22, $C$13, 100%, $E$13)</f>
        <v>17.313300000000002</v>
      </c>
      <c r="K897" s="68">
        <f>17.32 * CHOOSE(CONTROL!$C$22, $C$13, 100%, $E$13)</f>
        <v>17.32</v>
      </c>
    </row>
    <row r="898" spans="1:11" ht="15">
      <c r="A898" s="13">
        <v>68454</v>
      </c>
      <c r="B898" s="67">
        <f>15.0279 * CHOOSE(CONTROL!$C$22, $C$13, 100%, $E$13)</f>
        <v>15.027900000000001</v>
      </c>
      <c r="C898" s="67">
        <f>15.0279 * CHOOSE(CONTROL!$C$22, $C$13, 100%, $E$13)</f>
        <v>15.027900000000001</v>
      </c>
      <c r="D898" s="67">
        <f>15.0334 * CHOOSE(CONTROL!$C$22, $C$13, 100%, $E$13)</f>
        <v>15.0334</v>
      </c>
      <c r="E898" s="68">
        <f>17.2209 * CHOOSE(CONTROL!$C$22, $C$13, 100%, $E$13)</f>
        <v>17.2209</v>
      </c>
      <c r="F898" s="68">
        <f>17.2209 * CHOOSE(CONTROL!$C$22, $C$13, 100%, $E$13)</f>
        <v>17.2209</v>
      </c>
      <c r="G898" s="68">
        <f>17.2276 * CHOOSE(CONTROL!$C$22, $C$13, 100%, $E$13)</f>
        <v>17.227599999999999</v>
      </c>
      <c r="H898" s="68">
        <f>26.7324* CHOOSE(CONTROL!$C$22, $C$13, 100%, $E$13)</f>
        <v>26.732399999999998</v>
      </c>
      <c r="I898" s="68">
        <f>26.7391 * CHOOSE(CONTROL!$C$22, $C$13, 100%, $E$13)</f>
        <v>26.739100000000001</v>
      </c>
      <c r="J898" s="68">
        <f>17.2209 * CHOOSE(CONTROL!$C$22, $C$13, 100%, $E$13)</f>
        <v>17.2209</v>
      </c>
      <c r="K898" s="68">
        <f>17.2276 * CHOOSE(CONTROL!$C$22, $C$13, 100%, $E$13)</f>
        <v>17.227599999999999</v>
      </c>
    </row>
    <row r="899" spans="1:11" ht="15">
      <c r="A899" s="13">
        <v>68484</v>
      </c>
      <c r="B899" s="67">
        <f>15.2551 * CHOOSE(CONTROL!$C$22, $C$13, 100%, $E$13)</f>
        <v>15.255100000000001</v>
      </c>
      <c r="C899" s="67">
        <f>15.2551 * CHOOSE(CONTROL!$C$22, $C$13, 100%, $E$13)</f>
        <v>15.255100000000001</v>
      </c>
      <c r="D899" s="67">
        <f>15.2606 * CHOOSE(CONTROL!$C$22, $C$13, 100%, $E$13)</f>
        <v>15.2606</v>
      </c>
      <c r="E899" s="68">
        <f>17.494 * CHOOSE(CONTROL!$C$22, $C$13, 100%, $E$13)</f>
        <v>17.494</v>
      </c>
      <c r="F899" s="68">
        <f>17.494 * CHOOSE(CONTROL!$C$22, $C$13, 100%, $E$13)</f>
        <v>17.494</v>
      </c>
      <c r="G899" s="68">
        <f>17.5007 * CHOOSE(CONTROL!$C$22, $C$13, 100%, $E$13)</f>
        <v>17.500699999999998</v>
      </c>
      <c r="H899" s="68">
        <f>26.7881* CHOOSE(CONTROL!$C$22, $C$13, 100%, $E$13)</f>
        <v>26.7881</v>
      </c>
      <c r="I899" s="68">
        <f>26.7948 * CHOOSE(CONTROL!$C$22, $C$13, 100%, $E$13)</f>
        <v>26.794799999999999</v>
      </c>
      <c r="J899" s="68">
        <f>17.494 * CHOOSE(CONTROL!$C$22, $C$13, 100%, $E$13)</f>
        <v>17.494</v>
      </c>
      <c r="K899" s="68">
        <f>17.5007 * CHOOSE(CONTROL!$C$22, $C$13, 100%, $E$13)</f>
        <v>17.500699999999998</v>
      </c>
    </row>
    <row r="900" spans="1:11" ht="15">
      <c r="A900" s="13">
        <v>68515</v>
      </c>
      <c r="B900" s="67">
        <f>15.2618 * CHOOSE(CONTROL!$C$22, $C$13, 100%, $E$13)</f>
        <v>15.261799999999999</v>
      </c>
      <c r="C900" s="67">
        <f>15.2618 * CHOOSE(CONTROL!$C$22, $C$13, 100%, $E$13)</f>
        <v>15.261799999999999</v>
      </c>
      <c r="D900" s="67">
        <f>15.2673 * CHOOSE(CONTROL!$C$22, $C$13, 100%, $E$13)</f>
        <v>15.267300000000001</v>
      </c>
      <c r="E900" s="68">
        <f>17.2088 * CHOOSE(CONTROL!$C$22, $C$13, 100%, $E$13)</f>
        <v>17.2088</v>
      </c>
      <c r="F900" s="68">
        <f>17.2088 * CHOOSE(CONTROL!$C$22, $C$13, 100%, $E$13)</f>
        <v>17.2088</v>
      </c>
      <c r="G900" s="68">
        <f>17.2155 * CHOOSE(CONTROL!$C$22, $C$13, 100%, $E$13)</f>
        <v>17.215499999999999</v>
      </c>
      <c r="H900" s="68">
        <f>26.8439* CHOOSE(CONTROL!$C$22, $C$13, 100%, $E$13)</f>
        <v>26.843900000000001</v>
      </c>
      <c r="I900" s="68">
        <f>26.8506 * CHOOSE(CONTROL!$C$22, $C$13, 100%, $E$13)</f>
        <v>26.8506</v>
      </c>
      <c r="J900" s="68">
        <f>17.2088 * CHOOSE(CONTROL!$C$22, $C$13, 100%, $E$13)</f>
        <v>17.2088</v>
      </c>
      <c r="K900" s="68">
        <f>17.2155 * CHOOSE(CONTROL!$C$22, $C$13, 100%, $E$13)</f>
        <v>17.215499999999999</v>
      </c>
    </row>
    <row r="901" spans="1:11" ht="15">
      <c r="A901" s="13">
        <v>68546</v>
      </c>
      <c r="B901" s="67">
        <f>15.2588 * CHOOSE(CONTROL!$C$22, $C$13, 100%, $E$13)</f>
        <v>15.258800000000001</v>
      </c>
      <c r="C901" s="67">
        <f>15.2588 * CHOOSE(CONTROL!$C$22, $C$13, 100%, $E$13)</f>
        <v>15.258800000000001</v>
      </c>
      <c r="D901" s="67">
        <f>15.2643 * CHOOSE(CONTROL!$C$22, $C$13, 100%, $E$13)</f>
        <v>15.2643</v>
      </c>
      <c r="E901" s="68">
        <f>17.1744 * CHOOSE(CONTROL!$C$22, $C$13, 100%, $E$13)</f>
        <v>17.174399999999999</v>
      </c>
      <c r="F901" s="68">
        <f>17.1744 * CHOOSE(CONTROL!$C$22, $C$13, 100%, $E$13)</f>
        <v>17.174399999999999</v>
      </c>
      <c r="G901" s="68">
        <f>17.1812 * CHOOSE(CONTROL!$C$22, $C$13, 100%, $E$13)</f>
        <v>17.1812</v>
      </c>
      <c r="H901" s="68">
        <f>26.8998* CHOOSE(CONTROL!$C$22, $C$13, 100%, $E$13)</f>
        <v>26.899799999999999</v>
      </c>
      <c r="I901" s="68">
        <f>26.9066 * CHOOSE(CONTROL!$C$22, $C$13, 100%, $E$13)</f>
        <v>26.906600000000001</v>
      </c>
      <c r="J901" s="68">
        <f>17.1744 * CHOOSE(CONTROL!$C$22, $C$13, 100%, $E$13)</f>
        <v>17.174399999999999</v>
      </c>
      <c r="K901" s="68">
        <f>17.1812 * CHOOSE(CONTROL!$C$22, $C$13, 100%, $E$13)</f>
        <v>17.1812</v>
      </c>
    </row>
    <row r="902" spans="1:11" ht="15">
      <c r="A902" s="13">
        <v>68576</v>
      </c>
      <c r="B902" s="67">
        <f>15.2901 * CHOOSE(CONTROL!$C$22, $C$13, 100%, $E$13)</f>
        <v>15.290100000000001</v>
      </c>
      <c r="C902" s="67">
        <f>15.2901 * CHOOSE(CONTROL!$C$22, $C$13, 100%, $E$13)</f>
        <v>15.290100000000001</v>
      </c>
      <c r="D902" s="67">
        <f>15.2939 * CHOOSE(CONTROL!$C$22, $C$13, 100%, $E$13)</f>
        <v>15.293900000000001</v>
      </c>
      <c r="E902" s="68">
        <f>17.2899 * CHOOSE(CONTROL!$C$22, $C$13, 100%, $E$13)</f>
        <v>17.289899999999999</v>
      </c>
      <c r="F902" s="68">
        <f>17.2899 * CHOOSE(CONTROL!$C$22, $C$13, 100%, $E$13)</f>
        <v>17.289899999999999</v>
      </c>
      <c r="G902" s="68">
        <f>17.2946 * CHOOSE(CONTROL!$C$22, $C$13, 100%, $E$13)</f>
        <v>17.294599999999999</v>
      </c>
      <c r="H902" s="68">
        <f>26.9559* CHOOSE(CONTROL!$C$22, $C$13, 100%, $E$13)</f>
        <v>26.9559</v>
      </c>
      <c r="I902" s="68">
        <f>26.9606 * CHOOSE(CONTROL!$C$22, $C$13, 100%, $E$13)</f>
        <v>26.960599999999999</v>
      </c>
      <c r="J902" s="68">
        <f>17.2899 * CHOOSE(CONTROL!$C$22, $C$13, 100%, $E$13)</f>
        <v>17.289899999999999</v>
      </c>
      <c r="K902" s="68">
        <f>17.2946 * CHOOSE(CONTROL!$C$22, $C$13, 100%, $E$13)</f>
        <v>17.294599999999999</v>
      </c>
    </row>
    <row r="903" spans="1:11" ht="15">
      <c r="A903" s="13">
        <v>68607</v>
      </c>
      <c r="B903" s="67">
        <f>15.2931 * CHOOSE(CONTROL!$C$22, $C$13, 100%, $E$13)</f>
        <v>15.293100000000001</v>
      </c>
      <c r="C903" s="67">
        <f>15.2931 * CHOOSE(CONTROL!$C$22, $C$13, 100%, $E$13)</f>
        <v>15.293100000000001</v>
      </c>
      <c r="D903" s="67">
        <f>15.297 * CHOOSE(CONTROL!$C$22, $C$13, 100%, $E$13)</f>
        <v>15.297000000000001</v>
      </c>
      <c r="E903" s="68">
        <f>17.3564 * CHOOSE(CONTROL!$C$22, $C$13, 100%, $E$13)</f>
        <v>17.356400000000001</v>
      </c>
      <c r="F903" s="68">
        <f>17.3564 * CHOOSE(CONTROL!$C$22, $C$13, 100%, $E$13)</f>
        <v>17.356400000000001</v>
      </c>
      <c r="G903" s="68">
        <f>17.3612 * CHOOSE(CONTROL!$C$22, $C$13, 100%, $E$13)</f>
        <v>17.3612</v>
      </c>
      <c r="H903" s="68">
        <f>27.012* CHOOSE(CONTROL!$C$22, $C$13, 100%, $E$13)</f>
        <v>27.012</v>
      </c>
      <c r="I903" s="68">
        <f>27.0168 * CHOOSE(CONTROL!$C$22, $C$13, 100%, $E$13)</f>
        <v>27.0168</v>
      </c>
      <c r="J903" s="68">
        <f>17.3564 * CHOOSE(CONTROL!$C$22, $C$13, 100%, $E$13)</f>
        <v>17.356400000000001</v>
      </c>
      <c r="K903" s="68">
        <f>17.3612 * CHOOSE(CONTROL!$C$22, $C$13, 100%, $E$13)</f>
        <v>17.3612</v>
      </c>
    </row>
    <row r="904" spans="1:11" ht="15">
      <c r="A904" s="13">
        <v>68637</v>
      </c>
      <c r="B904" s="67">
        <f>15.2931 * CHOOSE(CONTROL!$C$22, $C$13, 100%, $E$13)</f>
        <v>15.293100000000001</v>
      </c>
      <c r="C904" s="67">
        <f>15.2931 * CHOOSE(CONTROL!$C$22, $C$13, 100%, $E$13)</f>
        <v>15.293100000000001</v>
      </c>
      <c r="D904" s="67">
        <f>15.297 * CHOOSE(CONTROL!$C$22, $C$13, 100%, $E$13)</f>
        <v>15.297000000000001</v>
      </c>
      <c r="E904" s="68">
        <f>17.1953 * CHOOSE(CONTROL!$C$22, $C$13, 100%, $E$13)</f>
        <v>17.1953</v>
      </c>
      <c r="F904" s="68">
        <f>17.1953 * CHOOSE(CONTROL!$C$22, $C$13, 100%, $E$13)</f>
        <v>17.1953</v>
      </c>
      <c r="G904" s="68">
        <f>17.2001 * CHOOSE(CONTROL!$C$22, $C$13, 100%, $E$13)</f>
        <v>17.200099999999999</v>
      </c>
      <c r="H904" s="68">
        <f>27.0683* CHOOSE(CONTROL!$C$22, $C$13, 100%, $E$13)</f>
        <v>27.068300000000001</v>
      </c>
      <c r="I904" s="68">
        <f>27.0731 * CHOOSE(CONTROL!$C$22, $C$13, 100%, $E$13)</f>
        <v>27.0731</v>
      </c>
      <c r="J904" s="68">
        <f>17.1953 * CHOOSE(CONTROL!$C$22, $C$13, 100%, $E$13)</f>
        <v>17.1953</v>
      </c>
      <c r="K904" s="68">
        <f>17.2001 * CHOOSE(CONTROL!$C$22, $C$13, 100%, $E$13)</f>
        <v>17.200099999999999</v>
      </c>
    </row>
    <row r="905" spans="1:11" ht="15">
      <c r="A905" s="13">
        <v>68668</v>
      </c>
      <c r="B905" s="67">
        <f>15.2566 * CHOOSE(CONTROL!$C$22, $C$13, 100%, $E$13)</f>
        <v>15.256600000000001</v>
      </c>
      <c r="C905" s="67">
        <f>15.2566 * CHOOSE(CONTROL!$C$22, $C$13, 100%, $E$13)</f>
        <v>15.256600000000001</v>
      </c>
      <c r="D905" s="67">
        <f>15.2605 * CHOOSE(CONTROL!$C$22, $C$13, 100%, $E$13)</f>
        <v>15.2605</v>
      </c>
      <c r="E905" s="68">
        <f>17.2866 * CHOOSE(CONTROL!$C$22, $C$13, 100%, $E$13)</f>
        <v>17.2866</v>
      </c>
      <c r="F905" s="68">
        <f>17.2866 * CHOOSE(CONTROL!$C$22, $C$13, 100%, $E$13)</f>
        <v>17.2866</v>
      </c>
      <c r="G905" s="68">
        <f>17.2914 * CHOOSE(CONTROL!$C$22, $C$13, 100%, $E$13)</f>
        <v>17.291399999999999</v>
      </c>
      <c r="H905" s="68">
        <f>26.8593* CHOOSE(CONTROL!$C$22, $C$13, 100%, $E$13)</f>
        <v>26.859300000000001</v>
      </c>
      <c r="I905" s="68">
        <f>26.8641 * CHOOSE(CONTROL!$C$22, $C$13, 100%, $E$13)</f>
        <v>26.864100000000001</v>
      </c>
      <c r="J905" s="68">
        <f>17.2866 * CHOOSE(CONTROL!$C$22, $C$13, 100%, $E$13)</f>
        <v>17.2866</v>
      </c>
      <c r="K905" s="68">
        <f>17.2914 * CHOOSE(CONTROL!$C$22, $C$13, 100%, $E$13)</f>
        <v>17.291399999999999</v>
      </c>
    </row>
    <row r="906" spans="1:11" ht="15">
      <c r="A906" s="13">
        <v>68699</v>
      </c>
      <c r="B906" s="67">
        <f>15.2536 * CHOOSE(CONTROL!$C$22, $C$13, 100%, $E$13)</f>
        <v>15.2536</v>
      </c>
      <c r="C906" s="67">
        <f>15.2536 * CHOOSE(CONTROL!$C$22, $C$13, 100%, $E$13)</f>
        <v>15.2536</v>
      </c>
      <c r="D906" s="67">
        <f>15.2574 * CHOOSE(CONTROL!$C$22, $C$13, 100%, $E$13)</f>
        <v>15.257400000000001</v>
      </c>
      <c r="E906" s="68">
        <f>16.9752 * CHOOSE(CONTROL!$C$22, $C$13, 100%, $E$13)</f>
        <v>16.975200000000001</v>
      </c>
      <c r="F906" s="68">
        <f>16.9752 * CHOOSE(CONTROL!$C$22, $C$13, 100%, $E$13)</f>
        <v>16.975200000000001</v>
      </c>
      <c r="G906" s="68">
        <f>16.9799 * CHOOSE(CONTROL!$C$22, $C$13, 100%, $E$13)</f>
        <v>16.979900000000001</v>
      </c>
      <c r="H906" s="68">
        <f>26.9153* CHOOSE(CONTROL!$C$22, $C$13, 100%, $E$13)</f>
        <v>26.915299999999998</v>
      </c>
      <c r="I906" s="68">
        <f>26.92 * CHOOSE(CONTROL!$C$22, $C$13, 100%, $E$13)</f>
        <v>26.92</v>
      </c>
      <c r="J906" s="68">
        <f>16.9752 * CHOOSE(CONTROL!$C$22, $C$13, 100%, $E$13)</f>
        <v>16.975200000000001</v>
      </c>
      <c r="K906" s="68">
        <f>16.9799 * CHOOSE(CONTROL!$C$22, $C$13, 100%, $E$13)</f>
        <v>16.979900000000001</v>
      </c>
    </row>
    <row r="907" spans="1:11" ht="15">
      <c r="A907" s="13">
        <v>68728</v>
      </c>
      <c r="B907" s="67">
        <f>15.2505 * CHOOSE(CONTROL!$C$22, $C$13, 100%, $E$13)</f>
        <v>15.250500000000001</v>
      </c>
      <c r="C907" s="67">
        <f>15.2505 * CHOOSE(CONTROL!$C$22, $C$13, 100%, $E$13)</f>
        <v>15.250500000000001</v>
      </c>
      <c r="D907" s="67">
        <f>15.2544 * CHOOSE(CONTROL!$C$22, $C$13, 100%, $E$13)</f>
        <v>15.2544</v>
      </c>
      <c r="E907" s="68">
        <f>17.2169 * CHOOSE(CONTROL!$C$22, $C$13, 100%, $E$13)</f>
        <v>17.216899999999999</v>
      </c>
      <c r="F907" s="68">
        <f>17.2169 * CHOOSE(CONTROL!$C$22, $C$13, 100%, $E$13)</f>
        <v>17.216899999999999</v>
      </c>
      <c r="G907" s="68">
        <f>17.2217 * CHOOSE(CONTROL!$C$22, $C$13, 100%, $E$13)</f>
        <v>17.221699999999998</v>
      </c>
      <c r="H907" s="68">
        <f>26.9713* CHOOSE(CONTROL!$C$22, $C$13, 100%, $E$13)</f>
        <v>26.971299999999999</v>
      </c>
      <c r="I907" s="68">
        <f>26.9761 * CHOOSE(CONTROL!$C$22, $C$13, 100%, $E$13)</f>
        <v>26.976099999999999</v>
      </c>
      <c r="J907" s="68">
        <f>17.2169 * CHOOSE(CONTROL!$C$22, $C$13, 100%, $E$13)</f>
        <v>17.216899999999999</v>
      </c>
      <c r="K907" s="68">
        <f>17.2217 * CHOOSE(CONTROL!$C$22, $C$13, 100%, $E$13)</f>
        <v>17.221699999999998</v>
      </c>
    </row>
    <row r="908" spans="1:11" ht="15">
      <c r="A908" s="13">
        <v>68759</v>
      </c>
      <c r="B908" s="67">
        <f>15.2576 * CHOOSE(CONTROL!$C$22, $C$13, 100%, $E$13)</f>
        <v>15.2576</v>
      </c>
      <c r="C908" s="67">
        <f>15.2576 * CHOOSE(CONTROL!$C$22, $C$13, 100%, $E$13)</f>
        <v>15.2576</v>
      </c>
      <c r="D908" s="67">
        <f>15.2614 * CHOOSE(CONTROL!$C$22, $C$13, 100%, $E$13)</f>
        <v>15.2614</v>
      </c>
      <c r="E908" s="68">
        <f>17.4745 * CHOOSE(CONTROL!$C$22, $C$13, 100%, $E$13)</f>
        <v>17.474499999999999</v>
      </c>
      <c r="F908" s="68">
        <f>17.4745 * CHOOSE(CONTROL!$C$22, $C$13, 100%, $E$13)</f>
        <v>17.474499999999999</v>
      </c>
      <c r="G908" s="68">
        <f>17.4793 * CHOOSE(CONTROL!$C$22, $C$13, 100%, $E$13)</f>
        <v>17.479299999999999</v>
      </c>
      <c r="H908" s="68">
        <f>27.0275* CHOOSE(CONTROL!$C$22, $C$13, 100%, $E$13)</f>
        <v>27.0275</v>
      </c>
      <c r="I908" s="68">
        <f>27.0323 * CHOOSE(CONTROL!$C$22, $C$13, 100%, $E$13)</f>
        <v>27.032299999999999</v>
      </c>
      <c r="J908" s="68">
        <f>17.4745 * CHOOSE(CONTROL!$C$22, $C$13, 100%, $E$13)</f>
        <v>17.474499999999999</v>
      </c>
      <c r="K908" s="68">
        <f>17.4793 * CHOOSE(CONTROL!$C$22, $C$13, 100%, $E$13)</f>
        <v>17.479299999999999</v>
      </c>
    </row>
    <row r="909" spans="1:11" ht="15">
      <c r="A909" s="13">
        <v>68789</v>
      </c>
      <c r="B909" s="67">
        <f>15.2576 * CHOOSE(CONTROL!$C$22, $C$13, 100%, $E$13)</f>
        <v>15.2576</v>
      </c>
      <c r="C909" s="67">
        <f>15.2576 * CHOOSE(CONTROL!$C$22, $C$13, 100%, $E$13)</f>
        <v>15.2576</v>
      </c>
      <c r="D909" s="67">
        <f>15.2631 * CHOOSE(CONTROL!$C$22, $C$13, 100%, $E$13)</f>
        <v>15.2631</v>
      </c>
      <c r="E909" s="68">
        <f>17.5727 * CHOOSE(CONTROL!$C$22, $C$13, 100%, $E$13)</f>
        <v>17.572700000000001</v>
      </c>
      <c r="F909" s="68">
        <f>17.5727 * CHOOSE(CONTROL!$C$22, $C$13, 100%, $E$13)</f>
        <v>17.572700000000001</v>
      </c>
      <c r="G909" s="68">
        <f>17.5794 * CHOOSE(CONTROL!$C$22, $C$13, 100%, $E$13)</f>
        <v>17.5794</v>
      </c>
      <c r="H909" s="68">
        <f>27.0838* CHOOSE(CONTROL!$C$22, $C$13, 100%, $E$13)</f>
        <v>27.0838</v>
      </c>
      <c r="I909" s="68">
        <f>27.0906 * CHOOSE(CONTROL!$C$22, $C$13, 100%, $E$13)</f>
        <v>27.090599999999998</v>
      </c>
      <c r="J909" s="68">
        <f>17.5727 * CHOOSE(CONTROL!$C$22, $C$13, 100%, $E$13)</f>
        <v>17.572700000000001</v>
      </c>
      <c r="K909" s="68">
        <f>17.5794 * CHOOSE(CONTROL!$C$22, $C$13, 100%, $E$13)</f>
        <v>17.5794</v>
      </c>
    </row>
    <row r="910" spans="1:11" ht="15">
      <c r="A910" s="13">
        <v>68820</v>
      </c>
      <c r="B910" s="67">
        <f>15.2637 * CHOOSE(CONTROL!$C$22, $C$13, 100%, $E$13)</f>
        <v>15.2637</v>
      </c>
      <c r="C910" s="67">
        <f>15.2637 * CHOOSE(CONTROL!$C$22, $C$13, 100%, $E$13)</f>
        <v>15.2637</v>
      </c>
      <c r="D910" s="67">
        <f>15.2692 * CHOOSE(CONTROL!$C$22, $C$13, 100%, $E$13)</f>
        <v>15.2692</v>
      </c>
      <c r="E910" s="68">
        <f>17.4787 * CHOOSE(CONTROL!$C$22, $C$13, 100%, $E$13)</f>
        <v>17.4787</v>
      </c>
      <c r="F910" s="68">
        <f>17.4787 * CHOOSE(CONTROL!$C$22, $C$13, 100%, $E$13)</f>
        <v>17.4787</v>
      </c>
      <c r="G910" s="68">
        <f>17.4855 * CHOOSE(CONTROL!$C$22, $C$13, 100%, $E$13)</f>
        <v>17.485499999999998</v>
      </c>
      <c r="H910" s="68">
        <f>27.1402* CHOOSE(CONTROL!$C$22, $C$13, 100%, $E$13)</f>
        <v>27.1402</v>
      </c>
      <c r="I910" s="68">
        <f>27.147 * CHOOSE(CONTROL!$C$22, $C$13, 100%, $E$13)</f>
        <v>27.146999999999998</v>
      </c>
      <c r="J910" s="68">
        <f>17.4787 * CHOOSE(CONTROL!$C$22, $C$13, 100%, $E$13)</f>
        <v>17.4787</v>
      </c>
      <c r="K910" s="68">
        <f>17.4855 * CHOOSE(CONTROL!$C$22, $C$13, 100%, $E$13)</f>
        <v>17.485499999999998</v>
      </c>
    </row>
    <row r="911" spans="1:11" ht="15">
      <c r="A911" s="13">
        <v>68850</v>
      </c>
      <c r="B911" s="67">
        <f>15.4943 * CHOOSE(CONTROL!$C$22, $C$13, 100%, $E$13)</f>
        <v>15.494300000000001</v>
      </c>
      <c r="C911" s="67">
        <f>15.4943 * CHOOSE(CONTROL!$C$22, $C$13, 100%, $E$13)</f>
        <v>15.494300000000001</v>
      </c>
      <c r="D911" s="67">
        <f>15.4998 * CHOOSE(CONTROL!$C$22, $C$13, 100%, $E$13)</f>
        <v>15.4998</v>
      </c>
      <c r="E911" s="68">
        <f>17.7558 * CHOOSE(CONTROL!$C$22, $C$13, 100%, $E$13)</f>
        <v>17.755800000000001</v>
      </c>
      <c r="F911" s="68">
        <f>17.7558 * CHOOSE(CONTROL!$C$22, $C$13, 100%, $E$13)</f>
        <v>17.755800000000001</v>
      </c>
      <c r="G911" s="68">
        <f>17.7625 * CHOOSE(CONTROL!$C$22, $C$13, 100%, $E$13)</f>
        <v>17.762499999999999</v>
      </c>
      <c r="H911" s="68">
        <f>27.1968* CHOOSE(CONTROL!$C$22, $C$13, 100%, $E$13)</f>
        <v>27.1968</v>
      </c>
      <c r="I911" s="68">
        <f>27.2035 * CHOOSE(CONTROL!$C$22, $C$13, 100%, $E$13)</f>
        <v>27.203499999999998</v>
      </c>
      <c r="J911" s="68">
        <f>17.7558 * CHOOSE(CONTROL!$C$22, $C$13, 100%, $E$13)</f>
        <v>17.755800000000001</v>
      </c>
      <c r="K911" s="68">
        <f>17.7625 * CHOOSE(CONTROL!$C$22, $C$13, 100%, $E$13)</f>
        <v>17.762499999999999</v>
      </c>
    </row>
    <row r="912" spans="1:11" ht="15">
      <c r="A912" s="13">
        <v>68881</v>
      </c>
      <c r="B912" s="67">
        <f>15.501 * CHOOSE(CONTROL!$C$22, $C$13, 100%, $E$13)</f>
        <v>15.500999999999999</v>
      </c>
      <c r="C912" s="67">
        <f>15.501 * CHOOSE(CONTROL!$C$22, $C$13, 100%, $E$13)</f>
        <v>15.500999999999999</v>
      </c>
      <c r="D912" s="67">
        <f>15.5065 * CHOOSE(CONTROL!$C$22, $C$13, 100%, $E$13)</f>
        <v>15.506500000000001</v>
      </c>
      <c r="E912" s="68">
        <f>17.4658 * CHOOSE(CONTROL!$C$22, $C$13, 100%, $E$13)</f>
        <v>17.465800000000002</v>
      </c>
      <c r="F912" s="68">
        <f>17.4658 * CHOOSE(CONTROL!$C$22, $C$13, 100%, $E$13)</f>
        <v>17.465800000000002</v>
      </c>
      <c r="G912" s="68">
        <f>17.4726 * CHOOSE(CONTROL!$C$22, $C$13, 100%, $E$13)</f>
        <v>17.4726</v>
      </c>
      <c r="H912" s="68">
        <f>27.2535* CHOOSE(CONTROL!$C$22, $C$13, 100%, $E$13)</f>
        <v>27.253499999999999</v>
      </c>
      <c r="I912" s="68">
        <f>27.2602 * CHOOSE(CONTROL!$C$22, $C$13, 100%, $E$13)</f>
        <v>27.260200000000001</v>
      </c>
      <c r="J912" s="68">
        <f>17.4658 * CHOOSE(CONTROL!$C$22, $C$13, 100%, $E$13)</f>
        <v>17.465800000000002</v>
      </c>
      <c r="K912" s="68">
        <f>17.4726 * CHOOSE(CONTROL!$C$22, $C$13, 100%, $E$13)</f>
        <v>17.4726</v>
      </c>
    </row>
    <row r="913" spans="1:11" ht="15">
      <c r="A913" s="13">
        <v>68912</v>
      </c>
      <c r="B913" s="67">
        <f>15.498 * CHOOSE(CONTROL!$C$22, $C$13, 100%, $E$13)</f>
        <v>15.497999999999999</v>
      </c>
      <c r="C913" s="67">
        <f>15.498 * CHOOSE(CONTROL!$C$22, $C$13, 100%, $E$13)</f>
        <v>15.497999999999999</v>
      </c>
      <c r="D913" s="67">
        <f>15.5035 * CHOOSE(CONTROL!$C$22, $C$13, 100%, $E$13)</f>
        <v>15.503500000000001</v>
      </c>
      <c r="E913" s="68">
        <f>17.431 * CHOOSE(CONTROL!$C$22, $C$13, 100%, $E$13)</f>
        <v>17.431000000000001</v>
      </c>
      <c r="F913" s="68">
        <f>17.431 * CHOOSE(CONTROL!$C$22, $C$13, 100%, $E$13)</f>
        <v>17.431000000000001</v>
      </c>
      <c r="G913" s="68">
        <f>17.4377 * CHOOSE(CONTROL!$C$22, $C$13, 100%, $E$13)</f>
        <v>17.4377</v>
      </c>
      <c r="H913" s="68">
        <f>27.3102* CHOOSE(CONTROL!$C$22, $C$13, 100%, $E$13)</f>
        <v>27.310199999999998</v>
      </c>
      <c r="I913" s="68">
        <f>27.317 * CHOOSE(CONTROL!$C$22, $C$13, 100%, $E$13)</f>
        <v>27.317</v>
      </c>
      <c r="J913" s="68">
        <f>17.431 * CHOOSE(CONTROL!$C$22, $C$13, 100%, $E$13)</f>
        <v>17.431000000000001</v>
      </c>
      <c r="K913" s="68">
        <f>17.4377 * CHOOSE(CONTROL!$C$22, $C$13, 100%, $E$13)</f>
        <v>17.4377</v>
      </c>
    </row>
    <row r="914" spans="1:11" ht="15">
      <c r="A914" s="13">
        <v>68942</v>
      </c>
      <c r="B914" s="67">
        <f>15.53 * CHOOSE(CONTROL!$C$22, $C$13, 100%, $E$13)</f>
        <v>15.53</v>
      </c>
      <c r="C914" s="67">
        <f>15.53 * CHOOSE(CONTROL!$C$22, $C$13, 100%, $E$13)</f>
        <v>15.53</v>
      </c>
      <c r="D914" s="67">
        <f>15.5339 * CHOOSE(CONTROL!$C$22, $C$13, 100%, $E$13)</f>
        <v>15.533899999999999</v>
      </c>
      <c r="E914" s="68">
        <f>17.5485 * CHOOSE(CONTROL!$C$22, $C$13, 100%, $E$13)</f>
        <v>17.548500000000001</v>
      </c>
      <c r="F914" s="68">
        <f>17.5485 * CHOOSE(CONTROL!$C$22, $C$13, 100%, $E$13)</f>
        <v>17.548500000000001</v>
      </c>
      <c r="G914" s="68">
        <f>17.5533 * CHOOSE(CONTROL!$C$22, $C$13, 100%, $E$13)</f>
        <v>17.5533</v>
      </c>
      <c r="H914" s="68">
        <f>27.3671* CHOOSE(CONTROL!$C$22, $C$13, 100%, $E$13)</f>
        <v>27.367100000000001</v>
      </c>
      <c r="I914" s="68">
        <f>27.3719 * CHOOSE(CONTROL!$C$22, $C$13, 100%, $E$13)</f>
        <v>27.3719</v>
      </c>
      <c r="J914" s="68">
        <f>17.5485 * CHOOSE(CONTROL!$C$22, $C$13, 100%, $E$13)</f>
        <v>17.548500000000001</v>
      </c>
      <c r="K914" s="68">
        <f>17.5533 * CHOOSE(CONTROL!$C$22, $C$13, 100%, $E$13)</f>
        <v>17.5533</v>
      </c>
    </row>
    <row r="915" spans="1:11" ht="15">
      <c r="A915" s="13">
        <v>68973</v>
      </c>
      <c r="B915" s="67">
        <f>15.533 * CHOOSE(CONTROL!$C$22, $C$13, 100%, $E$13)</f>
        <v>15.532999999999999</v>
      </c>
      <c r="C915" s="67">
        <f>15.533 * CHOOSE(CONTROL!$C$22, $C$13, 100%, $E$13)</f>
        <v>15.532999999999999</v>
      </c>
      <c r="D915" s="67">
        <f>15.5369 * CHOOSE(CONTROL!$C$22, $C$13, 100%, $E$13)</f>
        <v>15.536899999999999</v>
      </c>
      <c r="E915" s="68">
        <f>17.6161 * CHOOSE(CONTROL!$C$22, $C$13, 100%, $E$13)</f>
        <v>17.616099999999999</v>
      </c>
      <c r="F915" s="68">
        <f>17.6161 * CHOOSE(CONTROL!$C$22, $C$13, 100%, $E$13)</f>
        <v>17.616099999999999</v>
      </c>
      <c r="G915" s="68">
        <f>17.6208 * CHOOSE(CONTROL!$C$22, $C$13, 100%, $E$13)</f>
        <v>17.620799999999999</v>
      </c>
      <c r="H915" s="68">
        <f>27.4241* CHOOSE(CONTROL!$C$22, $C$13, 100%, $E$13)</f>
        <v>27.424099999999999</v>
      </c>
      <c r="I915" s="68">
        <f>27.4289 * CHOOSE(CONTROL!$C$22, $C$13, 100%, $E$13)</f>
        <v>27.428899999999999</v>
      </c>
      <c r="J915" s="68">
        <f>17.6161 * CHOOSE(CONTROL!$C$22, $C$13, 100%, $E$13)</f>
        <v>17.616099999999999</v>
      </c>
      <c r="K915" s="68">
        <f>17.6208 * CHOOSE(CONTROL!$C$22, $C$13, 100%, $E$13)</f>
        <v>17.620799999999999</v>
      </c>
    </row>
    <row r="916" spans="1:11" ht="15">
      <c r="A916" s="13">
        <v>69003</v>
      </c>
      <c r="B916" s="67">
        <f>15.533 * CHOOSE(CONTROL!$C$22, $C$13, 100%, $E$13)</f>
        <v>15.532999999999999</v>
      </c>
      <c r="C916" s="67">
        <f>15.533 * CHOOSE(CONTROL!$C$22, $C$13, 100%, $E$13)</f>
        <v>15.532999999999999</v>
      </c>
      <c r="D916" s="67">
        <f>15.5369 * CHOOSE(CONTROL!$C$22, $C$13, 100%, $E$13)</f>
        <v>15.536899999999999</v>
      </c>
      <c r="E916" s="68">
        <f>17.4524 * CHOOSE(CONTROL!$C$22, $C$13, 100%, $E$13)</f>
        <v>17.452400000000001</v>
      </c>
      <c r="F916" s="68">
        <f>17.4524 * CHOOSE(CONTROL!$C$22, $C$13, 100%, $E$13)</f>
        <v>17.452400000000001</v>
      </c>
      <c r="G916" s="68">
        <f>17.4572 * CHOOSE(CONTROL!$C$22, $C$13, 100%, $E$13)</f>
        <v>17.4572</v>
      </c>
      <c r="H916" s="68">
        <f>27.4813* CHOOSE(CONTROL!$C$22, $C$13, 100%, $E$13)</f>
        <v>27.481300000000001</v>
      </c>
      <c r="I916" s="68">
        <f>27.486 * CHOOSE(CONTROL!$C$22, $C$13, 100%, $E$13)</f>
        <v>27.486000000000001</v>
      </c>
      <c r="J916" s="68">
        <f>17.4524 * CHOOSE(CONTROL!$C$22, $C$13, 100%, $E$13)</f>
        <v>17.452400000000001</v>
      </c>
      <c r="K916" s="68">
        <f>17.4572 * CHOOSE(CONTROL!$C$22, $C$13, 100%, $E$13)</f>
        <v>17.4572</v>
      </c>
    </row>
    <row r="917" spans="1:11" ht="15">
      <c r="A917" s="13">
        <v>69034</v>
      </c>
      <c r="B917" s="67">
        <f>15.4922 * CHOOSE(CONTROL!$C$22, $C$13, 100%, $E$13)</f>
        <v>15.4922</v>
      </c>
      <c r="C917" s="67">
        <f>15.4922 * CHOOSE(CONTROL!$C$22, $C$13, 100%, $E$13)</f>
        <v>15.4922</v>
      </c>
      <c r="D917" s="67">
        <f>15.496 * CHOOSE(CONTROL!$C$22, $C$13, 100%, $E$13)</f>
        <v>15.496</v>
      </c>
      <c r="E917" s="68">
        <f>17.5413 * CHOOSE(CONTROL!$C$22, $C$13, 100%, $E$13)</f>
        <v>17.5413</v>
      </c>
      <c r="F917" s="68">
        <f>17.5413 * CHOOSE(CONTROL!$C$22, $C$13, 100%, $E$13)</f>
        <v>17.5413</v>
      </c>
      <c r="G917" s="68">
        <f>17.5461 * CHOOSE(CONTROL!$C$22, $C$13, 100%, $E$13)</f>
        <v>17.546099999999999</v>
      </c>
      <c r="H917" s="68">
        <f>27.2629* CHOOSE(CONTROL!$C$22, $C$13, 100%, $E$13)</f>
        <v>27.262899999999998</v>
      </c>
      <c r="I917" s="68">
        <f>27.2677 * CHOOSE(CONTROL!$C$22, $C$13, 100%, $E$13)</f>
        <v>27.267700000000001</v>
      </c>
      <c r="J917" s="68">
        <f>17.5413 * CHOOSE(CONTROL!$C$22, $C$13, 100%, $E$13)</f>
        <v>17.5413</v>
      </c>
      <c r="K917" s="68">
        <f>17.5461 * CHOOSE(CONTROL!$C$22, $C$13, 100%, $E$13)</f>
        <v>17.546099999999999</v>
      </c>
    </row>
    <row r="918" spans="1:11" ht="15">
      <c r="A918" s="13">
        <v>69065</v>
      </c>
      <c r="B918" s="67">
        <f>15.4891 * CHOOSE(CONTROL!$C$22, $C$13, 100%, $E$13)</f>
        <v>15.489100000000001</v>
      </c>
      <c r="C918" s="67">
        <f>15.4891 * CHOOSE(CONTROL!$C$22, $C$13, 100%, $E$13)</f>
        <v>15.489100000000001</v>
      </c>
      <c r="D918" s="67">
        <f>15.493 * CHOOSE(CONTROL!$C$22, $C$13, 100%, $E$13)</f>
        <v>15.493</v>
      </c>
      <c r="E918" s="68">
        <f>17.225 * CHOOSE(CONTROL!$C$22, $C$13, 100%, $E$13)</f>
        <v>17.225000000000001</v>
      </c>
      <c r="F918" s="68">
        <f>17.225 * CHOOSE(CONTROL!$C$22, $C$13, 100%, $E$13)</f>
        <v>17.225000000000001</v>
      </c>
      <c r="G918" s="68">
        <f>17.2297 * CHOOSE(CONTROL!$C$22, $C$13, 100%, $E$13)</f>
        <v>17.229700000000001</v>
      </c>
      <c r="H918" s="68">
        <f>27.3197* CHOOSE(CONTROL!$C$22, $C$13, 100%, $E$13)</f>
        <v>27.319700000000001</v>
      </c>
      <c r="I918" s="68">
        <f>27.3245 * CHOOSE(CONTROL!$C$22, $C$13, 100%, $E$13)</f>
        <v>27.3245</v>
      </c>
      <c r="J918" s="68">
        <f>17.225 * CHOOSE(CONTROL!$C$22, $C$13, 100%, $E$13)</f>
        <v>17.225000000000001</v>
      </c>
      <c r="K918" s="68">
        <f>17.2297 * CHOOSE(CONTROL!$C$22, $C$13, 100%, $E$13)</f>
        <v>17.229700000000001</v>
      </c>
    </row>
    <row r="919" spans="1:11" ht="15">
      <c r="A919" s="13">
        <v>69093</v>
      </c>
      <c r="B919" s="67">
        <f>15.4861 * CHOOSE(CONTROL!$C$22, $C$13, 100%, $E$13)</f>
        <v>15.4861</v>
      </c>
      <c r="C919" s="67">
        <f>15.4861 * CHOOSE(CONTROL!$C$22, $C$13, 100%, $E$13)</f>
        <v>15.4861</v>
      </c>
      <c r="D919" s="67">
        <f>15.4899 * CHOOSE(CONTROL!$C$22, $C$13, 100%, $E$13)</f>
        <v>15.4899</v>
      </c>
      <c r="E919" s="68">
        <f>17.4706 * CHOOSE(CONTROL!$C$22, $C$13, 100%, $E$13)</f>
        <v>17.470600000000001</v>
      </c>
      <c r="F919" s="68">
        <f>17.4706 * CHOOSE(CONTROL!$C$22, $C$13, 100%, $E$13)</f>
        <v>17.470600000000001</v>
      </c>
      <c r="G919" s="68">
        <f>17.4753 * CHOOSE(CONTROL!$C$22, $C$13, 100%, $E$13)</f>
        <v>17.475300000000001</v>
      </c>
      <c r="H919" s="68">
        <f>27.3766* CHOOSE(CONTROL!$C$22, $C$13, 100%, $E$13)</f>
        <v>27.3766</v>
      </c>
      <c r="I919" s="68">
        <f>27.3814 * CHOOSE(CONTROL!$C$22, $C$13, 100%, $E$13)</f>
        <v>27.381399999999999</v>
      </c>
      <c r="J919" s="68">
        <f>17.4706 * CHOOSE(CONTROL!$C$22, $C$13, 100%, $E$13)</f>
        <v>17.470600000000001</v>
      </c>
      <c r="K919" s="68">
        <f>17.4753 * CHOOSE(CONTROL!$C$22, $C$13, 100%, $E$13)</f>
        <v>17.475300000000001</v>
      </c>
    </row>
    <row r="920" spans="1:11" ht="15">
      <c r="A920" s="13">
        <v>69124</v>
      </c>
      <c r="B920" s="67">
        <f>15.4933 * CHOOSE(CONTROL!$C$22, $C$13, 100%, $E$13)</f>
        <v>15.4933</v>
      </c>
      <c r="C920" s="67">
        <f>15.4933 * CHOOSE(CONTROL!$C$22, $C$13, 100%, $E$13)</f>
        <v>15.4933</v>
      </c>
      <c r="D920" s="67">
        <f>15.4972 * CHOOSE(CONTROL!$C$22, $C$13, 100%, $E$13)</f>
        <v>15.497199999999999</v>
      </c>
      <c r="E920" s="68">
        <f>17.7324 * CHOOSE(CONTROL!$C$22, $C$13, 100%, $E$13)</f>
        <v>17.732399999999998</v>
      </c>
      <c r="F920" s="68">
        <f>17.7324 * CHOOSE(CONTROL!$C$22, $C$13, 100%, $E$13)</f>
        <v>17.732399999999998</v>
      </c>
      <c r="G920" s="68">
        <f>17.7371 * CHOOSE(CONTROL!$C$22, $C$13, 100%, $E$13)</f>
        <v>17.737100000000002</v>
      </c>
      <c r="H920" s="68">
        <f>27.4337* CHOOSE(CONTROL!$C$22, $C$13, 100%, $E$13)</f>
        <v>27.433700000000002</v>
      </c>
      <c r="I920" s="68">
        <f>27.4384 * CHOOSE(CONTROL!$C$22, $C$13, 100%, $E$13)</f>
        <v>27.438400000000001</v>
      </c>
      <c r="J920" s="68">
        <f>17.7324 * CHOOSE(CONTROL!$C$22, $C$13, 100%, $E$13)</f>
        <v>17.732399999999998</v>
      </c>
      <c r="K920" s="68">
        <f>17.7371 * CHOOSE(CONTROL!$C$22, $C$13, 100%, $E$13)</f>
        <v>17.737100000000002</v>
      </c>
    </row>
    <row r="921" spans="1:11" ht="15">
      <c r="A921" s="13">
        <v>69154</v>
      </c>
      <c r="B921" s="67">
        <f>15.4933 * CHOOSE(CONTROL!$C$22, $C$13, 100%, $E$13)</f>
        <v>15.4933</v>
      </c>
      <c r="C921" s="67">
        <f>15.4933 * CHOOSE(CONTROL!$C$22, $C$13, 100%, $E$13)</f>
        <v>15.4933</v>
      </c>
      <c r="D921" s="67">
        <f>15.4988 * CHOOSE(CONTROL!$C$22, $C$13, 100%, $E$13)</f>
        <v>15.498799999999999</v>
      </c>
      <c r="E921" s="68">
        <f>17.8321 * CHOOSE(CONTROL!$C$22, $C$13, 100%, $E$13)</f>
        <v>17.832100000000001</v>
      </c>
      <c r="F921" s="68">
        <f>17.8321 * CHOOSE(CONTROL!$C$22, $C$13, 100%, $E$13)</f>
        <v>17.832100000000001</v>
      </c>
      <c r="G921" s="68">
        <f>17.8389 * CHOOSE(CONTROL!$C$22, $C$13, 100%, $E$13)</f>
        <v>17.838899999999999</v>
      </c>
      <c r="H921" s="68">
        <f>27.4908* CHOOSE(CONTROL!$C$22, $C$13, 100%, $E$13)</f>
        <v>27.4908</v>
      </c>
      <c r="I921" s="68">
        <f>27.4976 * CHOOSE(CONTROL!$C$22, $C$13, 100%, $E$13)</f>
        <v>27.497599999999998</v>
      </c>
      <c r="J921" s="68">
        <f>17.8321 * CHOOSE(CONTROL!$C$22, $C$13, 100%, $E$13)</f>
        <v>17.832100000000001</v>
      </c>
      <c r="K921" s="68">
        <f>17.8389 * CHOOSE(CONTROL!$C$22, $C$13, 100%, $E$13)</f>
        <v>17.838899999999999</v>
      </c>
    </row>
    <row r="922" spans="1:11" ht="15">
      <c r="A922" s="13">
        <v>69185</v>
      </c>
      <c r="B922" s="67">
        <f>15.4994 * CHOOSE(CONTROL!$C$22, $C$13, 100%, $E$13)</f>
        <v>15.4994</v>
      </c>
      <c r="C922" s="67">
        <f>15.4994 * CHOOSE(CONTROL!$C$22, $C$13, 100%, $E$13)</f>
        <v>15.4994</v>
      </c>
      <c r="D922" s="67">
        <f>15.5049 * CHOOSE(CONTROL!$C$22, $C$13, 100%, $E$13)</f>
        <v>15.504899999999999</v>
      </c>
      <c r="E922" s="68">
        <f>17.7366 * CHOOSE(CONTROL!$C$22, $C$13, 100%, $E$13)</f>
        <v>17.736599999999999</v>
      </c>
      <c r="F922" s="68">
        <f>17.7366 * CHOOSE(CONTROL!$C$22, $C$13, 100%, $E$13)</f>
        <v>17.736599999999999</v>
      </c>
      <c r="G922" s="68">
        <f>17.7433 * CHOOSE(CONTROL!$C$22, $C$13, 100%, $E$13)</f>
        <v>17.743300000000001</v>
      </c>
      <c r="H922" s="68">
        <f>27.5481* CHOOSE(CONTROL!$C$22, $C$13, 100%, $E$13)</f>
        <v>27.548100000000002</v>
      </c>
      <c r="I922" s="68">
        <f>27.5548 * CHOOSE(CONTROL!$C$22, $C$13, 100%, $E$13)</f>
        <v>27.5548</v>
      </c>
      <c r="J922" s="68">
        <f>17.7366 * CHOOSE(CONTROL!$C$22, $C$13, 100%, $E$13)</f>
        <v>17.736599999999999</v>
      </c>
      <c r="K922" s="68">
        <f>17.7433 * CHOOSE(CONTROL!$C$22, $C$13, 100%, $E$13)</f>
        <v>17.743300000000001</v>
      </c>
    </row>
    <row r="923" spans="1:11" ht="15">
      <c r="A923" s="13">
        <v>69215</v>
      </c>
      <c r="B923" s="67">
        <f>15.7335 * CHOOSE(CONTROL!$C$22, $C$13, 100%, $E$13)</f>
        <v>15.733499999999999</v>
      </c>
      <c r="C923" s="67">
        <f>15.7335 * CHOOSE(CONTROL!$C$22, $C$13, 100%, $E$13)</f>
        <v>15.733499999999999</v>
      </c>
      <c r="D923" s="67">
        <f>15.739 * CHOOSE(CONTROL!$C$22, $C$13, 100%, $E$13)</f>
        <v>15.739000000000001</v>
      </c>
      <c r="E923" s="68">
        <f>18.0175 * CHOOSE(CONTROL!$C$22, $C$13, 100%, $E$13)</f>
        <v>18.017499999999998</v>
      </c>
      <c r="F923" s="68">
        <f>18.0175 * CHOOSE(CONTROL!$C$22, $C$13, 100%, $E$13)</f>
        <v>18.017499999999998</v>
      </c>
      <c r="G923" s="68">
        <f>18.0243 * CHOOSE(CONTROL!$C$22, $C$13, 100%, $E$13)</f>
        <v>18.0243</v>
      </c>
      <c r="H923" s="68">
        <f>27.6055* CHOOSE(CONTROL!$C$22, $C$13, 100%, $E$13)</f>
        <v>27.605499999999999</v>
      </c>
      <c r="I923" s="68">
        <f>27.6122 * CHOOSE(CONTROL!$C$22, $C$13, 100%, $E$13)</f>
        <v>27.612200000000001</v>
      </c>
      <c r="J923" s="68">
        <f>18.0175 * CHOOSE(CONTROL!$C$22, $C$13, 100%, $E$13)</f>
        <v>18.017499999999998</v>
      </c>
      <c r="K923" s="68">
        <f>18.0243 * CHOOSE(CONTROL!$C$22, $C$13, 100%, $E$13)</f>
        <v>18.0243</v>
      </c>
    </row>
    <row r="924" spans="1:11" ht="15">
      <c r="A924" s="13">
        <v>69246</v>
      </c>
      <c r="B924" s="67">
        <f>15.7402 * CHOOSE(CONTROL!$C$22, $C$13, 100%, $E$13)</f>
        <v>15.7402</v>
      </c>
      <c r="C924" s="67">
        <f>15.7402 * CHOOSE(CONTROL!$C$22, $C$13, 100%, $E$13)</f>
        <v>15.7402</v>
      </c>
      <c r="D924" s="67">
        <f>15.7457 * CHOOSE(CONTROL!$C$22, $C$13, 100%, $E$13)</f>
        <v>15.745699999999999</v>
      </c>
      <c r="E924" s="68">
        <f>17.7229 * CHOOSE(CONTROL!$C$22, $C$13, 100%, $E$13)</f>
        <v>17.722899999999999</v>
      </c>
      <c r="F924" s="68">
        <f>17.7229 * CHOOSE(CONTROL!$C$22, $C$13, 100%, $E$13)</f>
        <v>17.722899999999999</v>
      </c>
      <c r="G924" s="68">
        <f>17.7296 * CHOOSE(CONTROL!$C$22, $C$13, 100%, $E$13)</f>
        <v>17.729600000000001</v>
      </c>
      <c r="H924" s="68">
        <f>27.663* CHOOSE(CONTROL!$C$22, $C$13, 100%, $E$13)</f>
        <v>27.663</v>
      </c>
      <c r="I924" s="68">
        <f>27.6697 * CHOOSE(CONTROL!$C$22, $C$13, 100%, $E$13)</f>
        <v>27.669699999999999</v>
      </c>
      <c r="J924" s="68">
        <f>17.7229 * CHOOSE(CONTROL!$C$22, $C$13, 100%, $E$13)</f>
        <v>17.722899999999999</v>
      </c>
      <c r="K924" s="68">
        <f>17.7296 * CHOOSE(CONTROL!$C$22, $C$13, 100%, $E$13)</f>
        <v>17.729600000000001</v>
      </c>
    </row>
    <row r="925" spans="1:11" ht="15">
      <c r="A925" s="13">
        <v>69277</v>
      </c>
      <c r="B925" s="67">
        <f>15.7371 * CHOOSE(CONTROL!$C$22, $C$13, 100%, $E$13)</f>
        <v>15.7371</v>
      </c>
      <c r="C925" s="67">
        <f>15.7371 * CHOOSE(CONTROL!$C$22, $C$13, 100%, $E$13)</f>
        <v>15.7371</v>
      </c>
      <c r="D925" s="67">
        <f>15.7426 * CHOOSE(CONTROL!$C$22, $C$13, 100%, $E$13)</f>
        <v>15.742599999999999</v>
      </c>
      <c r="E925" s="68">
        <f>17.6875 * CHOOSE(CONTROL!$C$22, $C$13, 100%, $E$13)</f>
        <v>17.6875</v>
      </c>
      <c r="F925" s="68">
        <f>17.6875 * CHOOSE(CONTROL!$C$22, $C$13, 100%, $E$13)</f>
        <v>17.6875</v>
      </c>
      <c r="G925" s="68">
        <f>17.6943 * CHOOSE(CONTROL!$C$22, $C$13, 100%, $E$13)</f>
        <v>17.694299999999998</v>
      </c>
      <c r="H925" s="68">
        <f>27.7206* CHOOSE(CONTROL!$C$22, $C$13, 100%, $E$13)</f>
        <v>27.720600000000001</v>
      </c>
      <c r="I925" s="68">
        <f>27.7274 * CHOOSE(CONTROL!$C$22, $C$13, 100%, $E$13)</f>
        <v>27.727399999999999</v>
      </c>
      <c r="J925" s="68">
        <f>17.6875 * CHOOSE(CONTROL!$C$22, $C$13, 100%, $E$13)</f>
        <v>17.6875</v>
      </c>
      <c r="K925" s="68">
        <f>17.6943 * CHOOSE(CONTROL!$C$22, $C$13, 100%, $E$13)</f>
        <v>17.694299999999998</v>
      </c>
    </row>
    <row r="926" spans="1:11" ht="15">
      <c r="A926" s="13">
        <v>69307</v>
      </c>
      <c r="B926" s="67">
        <f>15.7699 * CHOOSE(CONTROL!$C$22, $C$13, 100%, $E$13)</f>
        <v>15.7699</v>
      </c>
      <c r="C926" s="67">
        <f>15.7699 * CHOOSE(CONTROL!$C$22, $C$13, 100%, $E$13)</f>
        <v>15.7699</v>
      </c>
      <c r="D926" s="67">
        <f>15.7738 * CHOOSE(CONTROL!$C$22, $C$13, 100%, $E$13)</f>
        <v>15.7738</v>
      </c>
      <c r="E926" s="68">
        <f>17.8071 * CHOOSE(CONTROL!$C$22, $C$13, 100%, $E$13)</f>
        <v>17.807099999999998</v>
      </c>
      <c r="F926" s="68">
        <f>17.8071 * CHOOSE(CONTROL!$C$22, $C$13, 100%, $E$13)</f>
        <v>17.807099999999998</v>
      </c>
      <c r="G926" s="68">
        <f>17.8119 * CHOOSE(CONTROL!$C$22, $C$13, 100%, $E$13)</f>
        <v>17.811900000000001</v>
      </c>
      <c r="H926" s="68">
        <f>27.7784* CHOOSE(CONTROL!$C$22, $C$13, 100%, $E$13)</f>
        <v>27.778400000000001</v>
      </c>
      <c r="I926" s="68">
        <f>27.7832 * CHOOSE(CONTROL!$C$22, $C$13, 100%, $E$13)</f>
        <v>27.783200000000001</v>
      </c>
      <c r="J926" s="68">
        <f>17.8071 * CHOOSE(CONTROL!$C$22, $C$13, 100%, $E$13)</f>
        <v>17.807099999999998</v>
      </c>
      <c r="K926" s="68">
        <f>17.8119 * CHOOSE(CONTROL!$C$22, $C$13, 100%, $E$13)</f>
        <v>17.811900000000001</v>
      </c>
    </row>
    <row r="927" spans="1:11" ht="15">
      <c r="A927" s="13">
        <v>69338</v>
      </c>
      <c r="B927" s="67">
        <f>15.773 * CHOOSE(CONTROL!$C$22, $C$13, 100%, $E$13)</f>
        <v>15.773</v>
      </c>
      <c r="C927" s="67">
        <f>15.773 * CHOOSE(CONTROL!$C$22, $C$13, 100%, $E$13)</f>
        <v>15.773</v>
      </c>
      <c r="D927" s="67">
        <f>15.7768 * CHOOSE(CONTROL!$C$22, $C$13, 100%, $E$13)</f>
        <v>15.7768</v>
      </c>
      <c r="E927" s="68">
        <f>17.8758 * CHOOSE(CONTROL!$C$22, $C$13, 100%, $E$13)</f>
        <v>17.875800000000002</v>
      </c>
      <c r="F927" s="68">
        <f>17.8758 * CHOOSE(CONTROL!$C$22, $C$13, 100%, $E$13)</f>
        <v>17.875800000000002</v>
      </c>
      <c r="G927" s="68">
        <f>17.8805 * CHOOSE(CONTROL!$C$22, $C$13, 100%, $E$13)</f>
        <v>17.880500000000001</v>
      </c>
      <c r="H927" s="68">
        <f>27.8363* CHOOSE(CONTROL!$C$22, $C$13, 100%, $E$13)</f>
        <v>27.836300000000001</v>
      </c>
      <c r="I927" s="68">
        <f>27.841 * CHOOSE(CONTROL!$C$22, $C$13, 100%, $E$13)</f>
        <v>27.841000000000001</v>
      </c>
      <c r="J927" s="68">
        <f>17.8758 * CHOOSE(CONTROL!$C$22, $C$13, 100%, $E$13)</f>
        <v>17.875800000000002</v>
      </c>
      <c r="K927" s="68">
        <f>17.8805 * CHOOSE(CONTROL!$C$22, $C$13, 100%, $E$13)</f>
        <v>17.880500000000001</v>
      </c>
    </row>
    <row r="928" spans="1:11" ht="15">
      <c r="A928" s="13">
        <v>69368</v>
      </c>
      <c r="B928" s="67">
        <f>15.773 * CHOOSE(CONTROL!$C$22, $C$13, 100%, $E$13)</f>
        <v>15.773</v>
      </c>
      <c r="C928" s="67">
        <f>15.773 * CHOOSE(CONTROL!$C$22, $C$13, 100%, $E$13)</f>
        <v>15.773</v>
      </c>
      <c r="D928" s="67">
        <f>15.7768 * CHOOSE(CONTROL!$C$22, $C$13, 100%, $E$13)</f>
        <v>15.7768</v>
      </c>
      <c r="E928" s="68">
        <f>17.7095 * CHOOSE(CONTROL!$C$22, $C$13, 100%, $E$13)</f>
        <v>17.709499999999998</v>
      </c>
      <c r="F928" s="68">
        <f>17.7095 * CHOOSE(CONTROL!$C$22, $C$13, 100%, $E$13)</f>
        <v>17.709499999999998</v>
      </c>
      <c r="G928" s="68">
        <f>17.7143 * CHOOSE(CONTROL!$C$22, $C$13, 100%, $E$13)</f>
        <v>17.714300000000001</v>
      </c>
      <c r="H928" s="68">
        <f>27.8943* CHOOSE(CONTROL!$C$22, $C$13, 100%, $E$13)</f>
        <v>27.894300000000001</v>
      </c>
      <c r="I928" s="68">
        <f>27.899 * CHOOSE(CONTROL!$C$22, $C$13, 100%, $E$13)</f>
        <v>27.899000000000001</v>
      </c>
      <c r="J928" s="68">
        <f>17.7095 * CHOOSE(CONTROL!$C$22, $C$13, 100%, $E$13)</f>
        <v>17.709499999999998</v>
      </c>
      <c r="K928" s="68">
        <f>17.7143 * CHOOSE(CONTROL!$C$22, $C$13, 100%, $E$13)</f>
        <v>17.714300000000001</v>
      </c>
    </row>
    <row r="929" spans="1:11" ht="15">
      <c r="A929" s="13">
        <v>69399</v>
      </c>
      <c r="B929" s="67">
        <f>15.7277 * CHOOSE(CONTROL!$C$22, $C$13, 100%, $E$13)</f>
        <v>15.7277</v>
      </c>
      <c r="C929" s="67">
        <f>15.7277 * CHOOSE(CONTROL!$C$22, $C$13, 100%, $E$13)</f>
        <v>15.7277</v>
      </c>
      <c r="D929" s="67">
        <f>15.7316 * CHOOSE(CONTROL!$C$22, $C$13, 100%, $E$13)</f>
        <v>15.7316</v>
      </c>
      <c r="E929" s="68">
        <f>17.796 * CHOOSE(CONTROL!$C$22, $C$13, 100%, $E$13)</f>
        <v>17.795999999999999</v>
      </c>
      <c r="F929" s="68">
        <f>17.796 * CHOOSE(CONTROL!$C$22, $C$13, 100%, $E$13)</f>
        <v>17.795999999999999</v>
      </c>
      <c r="G929" s="68">
        <f>17.8008 * CHOOSE(CONTROL!$C$22, $C$13, 100%, $E$13)</f>
        <v>17.800799999999999</v>
      </c>
      <c r="H929" s="68">
        <f>27.6666* CHOOSE(CONTROL!$C$22, $C$13, 100%, $E$13)</f>
        <v>27.666599999999999</v>
      </c>
      <c r="I929" s="68">
        <f>27.6713 * CHOOSE(CONTROL!$C$22, $C$13, 100%, $E$13)</f>
        <v>27.671299999999999</v>
      </c>
      <c r="J929" s="68">
        <f>17.796 * CHOOSE(CONTROL!$C$22, $C$13, 100%, $E$13)</f>
        <v>17.795999999999999</v>
      </c>
      <c r="K929" s="68">
        <f>17.8008 * CHOOSE(CONTROL!$C$22, $C$13, 100%, $E$13)</f>
        <v>17.800799999999999</v>
      </c>
    </row>
    <row r="930" spans="1:11" ht="15">
      <c r="A930" s="13">
        <v>69430</v>
      </c>
      <c r="B930" s="67">
        <f>15.7247 * CHOOSE(CONTROL!$C$22, $C$13, 100%, $E$13)</f>
        <v>15.7247</v>
      </c>
      <c r="C930" s="67">
        <f>15.7247 * CHOOSE(CONTROL!$C$22, $C$13, 100%, $E$13)</f>
        <v>15.7247</v>
      </c>
      <c r="D930" s="67">
        <f>15.7286 * CHOOSE(CONTROL!$C$22, $C$13, 100%, $E$13)</f>
        <v>15.7286</v>
      </c>
      <c r="E930" s="68">
        <f>17.4747 * CHOOSE(CONTROL!$C$22, $C$13, 100%, $E$13)</f>
        <v>17.474699999999999</v>
      </c>
      <c r="F930" s="68">
        <f>17.4747 * CHOOSE(CONTROL!$C$22, $C$13, 100%, $E$13)</f>
        <v>17.474699999999999</v>
      </c>
      <c r="G930" s="68">
        <f>17.4795 * CHOOSE(CONTROL!$C$22, $C$13, 100%, $E$13)</f>
        <v>17.479500000000002</v>
      </c>
      <c r="H930" s="68">
        <f>27.7242* CHOOSE(CONTROL!$C$22, $C$13, 100%, $E$13)</f>
        <v>27.7242</v>
      </c>
      <c r="I930" s="68">
        <f>27.729 * CHOOSE(CONTROL!$C$22, $C$13, 100%, $E$13)</f>
        <v>27.728999999999999</v>
      </c>
      <c r="J930" s="68">
        <f>17.4747 * CHOOSE(CONTROL!$C$22, $C$13, 100%, $E$13)</f>
        <v>17.474699999999999</v>
      </c>
      <c r="K930" s="68">
        <f>17.4795 * CHOOSE(CONTROL!$C$22, $C$13, 100%, $E$13)</f>
        <v>17.479500000000002</v>
      </c>
    </row>
    <row r="931" spans="1:11" ht="15">
      <c r="A931" s="13">
        <v>69458</v>
      </c>
      <c r="B931" s="67">
        <f>15.7217 * CHOOSE(CONTROL!$C$22, $C$13, 100%, $E$13)</f>
        <v>15.7217</v>
      </c>
      <c r="C931" s="67">
        <f>15.7217 * CHOOSE(CONTROL!$C$22, $C$13, 100%, $E$13)</f>
        <v>15.7217</v>
      </c>
      <c r="D931" s="67">
        <f>15.7255 * CHOOSE(CONTROL!$C$22, $C$13, 100%, $E$13)</f>
        <v>15.7255</v>
      </c>
      <c r="E931" s="68">
        <f>17.7242 * CHOOSE(CONTROL!$C$22, $C$13, 100%, $E$13)</f>
        <v>17.7242</v>
      </c>
      <c r="F931" s="68">
        <f>17.7242 * CHOOSE(CONTROL!$C$22, $C$13, 100%, $E$13)</f>
        <v>17.7242</v>
      </c>
      <c r="G931" s="68">
        <f>17.729 * CHOOSE(CONTROL!$C$22, $C$13, 100%, $E$13)</f>
        <v>17.728999999999999</v>
      </c>
      <c r="H931" s="68">
        <f>27.782* CHOOSE(CONTROL!$C$22, $C$13, 100%, $E$13)</f>
        <v>27.782</v>
      </c>
      <c r="I931" s="68">
        <f>27.7867 * CHOOSE(CONTROL!$C$22, $C$13, 100%, $E$13)</f>
        <v>27.7867</v>
      </c>
      <c r="J931" s="68">
        <f>17.7242 * CHOOSE(CONTROL!$C$22, $C$13, 100%, $E$13)</f>
        <v>17.7242</v>
      </c>
      <c r="K931" s="68">
        <f>17.729 * CHOOSE(CONTROL!$C$22, $C$13, 100%, $E$13)</f>
        <v>17.728999999999999</v>
      </c>
    </row>
    <row r="932" spans="1:11" ht="15">
      <c r="A932" s="13">
        <v>69489</v>
      </c>
      <c r="B932" s="67">
        <f>15.7291 * CHOOSE(CONTROL!$C$22, $C$13, 100%, $E$13)</f>
        <v>15.729100000000001</v>
      </c>
      <c r="C932" s="67">
        <f>15.7291 * CHOOSE(CONTROL!$C$22, $C$13, 100%, $E$13)</f>
        <v>15.729100000000001</v>
      </c>
      <c r="D932" s="67">
        <f>15.733 * CHOOSE(CONTROL!$C$22, $C$13, 100%, $E$13)</f>
        <v>15.733000000000001</v>
      </c>
      <c r="E932" s="68">
        <f>17.9902 * CHOOSE(CONTROL!$C$22, $C$13, 100%, $E$13)</f>
        <v>17.990200000000002</v>
      </c>
      <c r="F932" s="68">
        <f>17.9902 * CHOOSE(CONTROL!$C$22, $C$13, 100%, $E$13)</f>
        <v>17.990200000000002</v>
      </c>
      <c r="G932" s="68">
        <f>17.995 * CHOOSE(CONTROL!$C$22, $C$13, 100%, $E$13)</f>
        <v>17.995000000000001</v>
      </c>
      <c r="H932" s="68">
        <f>27.8398* CHOOSE(CONTROL!$C$22, $C$13, 100%, $E$13)</f>
        <v>27.8398</v>
      </c>
      <c r="I932" s="68">
        <f>27.8446 * CHOOSE(CONTROL!$C$22, $C$13, 100%, $E$13)</f>
        <v>27.8446</v>
      </c>
      <c r="J932" s="68">
        <f>17.9902 * CHOOSE(CONTROL!$C$22, $C$13, 100%, $E$13)</f>
        <v>17.990200000000002</v>
      </c>
      <c r="K932" s="68">
        <f>17.995 * CHOOSE(CONTROL!$C$22, $C$13, 100%, $E$13)</f>
        <v>17.995000000000001</v>
      </c>
    </row>
    <row r="933" spans="1:11" ht="15">
      <c r="A933" s="13">
        <v>69519</v>
      </c>
      <c r="B933" s="67">
        <f>15.7291 * CHOOSE(CONTROL!$C$22, $C$13, 100%, $E$13)</f>
        <v>15.729100000000001</v>
      </c>
      <c r="C933" s="67">
        <f>15.7291 * CHOOSE(CONTROL!$C$22, $C$13, 100%, $E$13)</f>
        <v>15.729100000000001</v>
      </c>
      <c r="D933" s="67">
        <f>15.7346 * CHOOSE(CONTROL!$C$22, $C$13, 100%, $E$13)</f>
        <v>15.7346</v>
      </c>
      <c r="E933" s="68">
        <f>18.0916 * CHOOSE(CONTROL!$C$22, $C$13, 100%, $E$13)</f>
        <v>18.0916</v>
      </c>
      <c r="F933" s="68">
        <f>18.0916 * CHOOSE(CONTROL!$C$22, $C$13, 100%, $E$13)</f>
        <v>18.0916</v>
      </c>
      <c r="G933" s="68">
        <f>18.0983 * CHOOSE(CONTROL!$C$22, $C$13, 100%, $E$13)</f>
        <v>18.098299999999998</v>
      </c>
      <c r="H933" s="68">
        <f>27.8978* CHOOSE(CONTROL!$C$22, $C$13, 100%, $E$13)</f>
        <v>27.8978</v>
      </c>
      <c r="I933" s="68">
        <f>27.9046 * CHOOSE(CONTROL!$C$22, $C$13, 100%, $E$13)</f>
        <v>27.904599999999999</v>
      </c>
      <c r="J933" s="68">
        <f>18.0916 * CHOOSE(CONTROL!$C$22, $C$13, 100%, $E$13)</f>
        <v>18.0916</v>
      </c>
      <c r="K933" s="68">
        <f>18.0983 * CHOOSE(CONTROL!$C$22, $C$13, 100%, $E$13)</f>
        <v>18.098299999999998</v>
      </c>
    </row>
    <row r="934" spans="1:11" ht="15">
      <c r="A934" s="13">
        <v>69550</v>
      </c>
      <c r="B934" s="67">
        <f>15.7352 * CHOOSE(CONTROL!$C$22, $C$13, 100%, $E$13)</f>
        <v>15.735200000000001</v>
      </c>
      <c r="C934" s="67">
        <f>15.7352 * CHOOSE(CONTROL!$C$22, $C$13, 100%, $E$13)</f>
        <v>15.735200000000001</v>
      </c>
      <c r="D934" s="67">
        <f>15.7407 * CHOOSE(CONTROL!$C$22, $C$13, 100%, $E$13)</f>
        <v>15.7407</v>
      </c>
      <c r="E934" s="68">
        <f>17.9945 * CHOOSE(CONTROL!$C$22, $C$13, 100%, $E$13)</f>
        <v>17.994499999999999</v>
      </c>
      <c r="F934" s="68">
        <f>17.9945 * CHOOSE(CONTROL!$C$22, $C$13, 100%, $E$13)</f>
        <v>17.994499999999999</v>
      </c>
      <c r="G934" s="68">
        <f>18.0012 * CHOOSE(CONTROL!$C$22, $C$13, 100%, $E$13)</f>
        <v>18.001200000000001</v>
      </c>
      <c r="H934" s="68">
        <f>27.956* CHOOSE(CONTROL!$C$22, $C$13, 100%, $E$13)</f>
        <v>27.956</v>
      </c>
      <c r="I934" s="68">
        <f>27.9627 * CHOOSE(CONTROL!$C$22, $C$13, 100%, $E$13)</f>
        <v>27.962700000000002</v>
      </c>
      <c r="J934" s="68">
        <f>17.9945 * CHOOSE(CONTROL!$C$22, $C$13, 100%, $E$13)</f>
        <v>17.994499999999999</v>
      </c>
      <c r="K934" s="68">
        <f>18.0012 * CHOOSE(CONTROL!$C$22, $C$13, 100%, $E$13)</f>
        <v>18.001200000000001</v>
      </c>
    </row>
    <row r="935" spans="1:11" ht="15">
      <c r="A935" s="13">
        <v>69580</v>
      </c>
      <c r="B935" s="67">
        <f>15.9727 * CHOOSE(CONTROL!$C$22, $C$13, 100%, $E$13)</f>
        <v>15.9727</v>
      </c>
      <c r="C935" s="67">
        <f>15.9727 * CHOOSE(CONTROL!$C$22, $C$13, 100%, $E$13)</f>
        <v>15.9727</v>
      </c>
      <c r="D935" s="67">
        <f>15.9782 * CHOOSE(CONTROL!$C$22, $C$13, 100%, $E$13)</f>
        <v>15.978199999999999</v>
      </c>
      <c r="E935" s="68">
        <f>18.2793 * CHOOSE(CONTROL!$C$22, $C$13, 100%, $E$13)</f>
        <v>18.279299999999999</v>
      </c>
      <c r="F935" s="68">
        <f>18.2793 * CHOOSE(CONTROL!$C$22, $C$13, 100%, $E$13)</f>
        <v>18.279299999999999</v>
      </c>
      <c r="G935" s="68">
        <f>18.286 * CHOOSE(CONTROL!$C$22, $C$13, 100%, $E$13)</f>
        <v>18.286000000000001</v>
      </c>
      <c r="H935" s="68">
        <f>28.0142* CHOOSE(CONTROL!$C$22, $C$13, 100%, $E$13)</f>
        <v>28.014199999999999</v>
      </c>
      <c r="I935" s="68">
        <f>28.0209 * CHOOSE(CONTROL!$C$22, $C$13, 100%, $E$13)</f>
        <v>28.020900000000001</v>
      </c>
      <c r="J935" s="68">
        <f>18.2793 * CHOOSE(CONTROL!$C$22, $C$13, 100%, $E$13)</f>
        <v>18.279299999999999</v>
      </c>
      <c r="K935" s="68">
        <f>18.286 * CHOOSE(CONTROL!$C$22, $C$13, 100%, $E$13)</f>
        <v>18.286000000000001</v>
      </c>
    </row>
    <row r="936" spans="1:11" ht="15">
      <c r="A936" s="13">
        <v>69611</v>
      </c>
      <c r="B936" s="67">
        <f>15.9794 * CHOOSE(CONTROL!$C$22, $C$13, 100%, $E$13)</f>
        <v>15.9794</v>
      </c>
      <c r="C936" s="67">
        <f>15.9794 * CHOOSE(CONTROL!$C$22, $C$13, 100%, $E$13)</f>
        <v>15.9794</v>
      </c>
      <c r="D936" s="67">
        <f>15.9849 * CHOOSE(CONTROL!$C$22, $C$13, 100%, $E$13)</f>
        <v>15.9849</v>
      </c>
      <c r="E936" s="68">
        <f>17.98 * CHOOSE(CONTROL!$C$22, $C$13, 100%, $E$13)</f>
        <v>17.98</v>
      </c>
      <c r="F936" s="68">
        <f>17.98 * CHOOSE(CONTROL!$C$22, $C$13, 100%, $E$13)</f>
        <v>17.98</v>
      </c>
      <c r="G936" s="68">
        <f>17.9867 * CHOOSE(CONTROL!$C$22, $C$13, 100%, $E$13)</f>
        <v>17.986699999999999</v>
      </c>
      <c r="H936" s="68">
        <f>28.0726* CHOOSE(CONTROL!$C$22, $C$13, 100%, $E$13)</f>
        <v>28.072600000000001</v>
      </c>
      <c r="I936" s="68">
        <f>28.0793 * CHOOSE(CONTROL!$C$22, $C$13, 100%, $E$13)</f>
        <v>28.0793</v>
      </c>
      <c r="J936" s="68">
        <f>17.98 * CHOOSE(CONTROL!$C$22, $C$13, 100%, $E$13)</f>
        <v>17.98</v>
      </c>
      <c r="K936" s="68">
        <f>17.9867 * CHOOSE(CONTROL!$C$22, $C$13, 100%, $E$13)</f>
        <v>17.986699999999999</v>
      </c>
    </row>
    <row r="937" spans="1:11" ht="15">
      <c r="A937" s="13">
        <v>69642</v>
      </c>
      <c r="B937" s="67">
        <f>15.9763 * CHOOSE(CONTROL!$C$22, $C$13, 100%, $E$13)</f>
        <v>15.9763</v>
      </c>
      <c r="C937" s="67">
        <f>15.9763 * CHOOSE(CONTROL!$C$22, $C$13, 100%, $E$13)</f>
        <v>15.9763</v>
      </c>
      <c r="D937" s="67">
        <f>15.9818 * CHOOSE(CONTROL!$C$22, $C$13, 100%, $E$13)</f>
        <v>15.9818</v>
      </c>
      <c r="E937" s="68">
        <f>17.9441 * CHOOSE(CONTROL!$C$22, $C$13, 100%, $E$13)</f>
        <v>17.944099999999999</v>
      </c>
      <c r="F937" s="68">
        <f>17.9441 * CHOOSE(CONTROL!$C$22, $C$13, 100%, $E$13)</f>
        <v>17.944099999999999</v>
      </c>
      <c r="G937" s="68">
        <f>17.9508 * CHOOSE(CONTROL!$C$22, $C$13, 100%, $E$13)</f>
        <v>17.950800000000001</v>
      </c>
      <c r="H937" s="68">
        <f>28.131* CHOOSE(CONTROL!$C$22, $C$13, 100%, $E$13)</f>
        <v>28.131</v>
      </c>
      <c r="I937" s="68">
        <f>28.1378 * CHOOSE(CONTROL!$C$22, $C$13, 100%, $E$13)</f>
        <v>28.137799999999999</v>
      </c>
      <c r="J937" s="68">
        <f>17.9441 * CHOOSE(CONTROL!$C$22, $C$13, 100%, $E$13)</f>
        <v>17.944099999999999</v>
      </c>
      <c r="K937" s="68">
        <f>17.9508 * CHOOSE(CONTROL!$C$22, $C$13, 100%, $E$13)</f>
        <v>17.950800000000001</v>
      </c>
    </row>
    <row r="938" spans="1:11" ht="15">
      <c r="A938" s="13">
        <v>69672</v>
      </c>
      <c r="B938" s="67">
        <f>16.0099 * CHOOSE(CONTROL!$C$22, $C$13, 100%, $E$13)</f>
        <v>16.009899999999998</v>
      </c>
      <c r="C938" s="67">
        <f>16.0099 * CHOOSE(CONTROL!$C$22, $C$13, 100%, $E$13)</f>
        <v>16.009899999999998</v>
      </c>
      <c r="D938" s="67">
        <f>16.0137 * CHOOSE(CONTROL!$C$22, $C$13, 100%, $E$13)</f>
        <v>16.0137</v>
      </c>
      <c r="E938" s="68">
        <f>18.0658 * CHOOSE(CONTROL!$C$22, $C$13, 100%, $E$13)</f>
        <v>18.065799999999999</v>
      </c>
      <c r="F938" s="68">
        <f>18.0658 * CHOOSE(CONTROL!$C$22, $C$13, 100%, $E$13)</f>
        <v>18.065799999999999</v>
      </c>
      <c r="G938" s="68">
        <f>18.0705 * CHOOSE(CONTROL!$C$22, $C$13, 100%, $E$13)</f>
        <v>18.070499999999999</v>
      </c>
      <c r="H938" s="68">
        <f>28.1897* CHOOSE(CONTROL!$C$22, $C$13, 100%, $E$13)</f>
        <v>28.189699999999998</v>
      </c>
      <c r="I938" s="68">
        <f>28.1944 * CHOOSE(CONTROL!$C$22, $C$13, 100%, $E$13)</f>
        <v>28.194400000000002</v>
      </c>
      <c r="J938" s="68">
        <f>18.0658 * CHOOSE(CONTROL!$C$22, $C$13, 100%, $E$13)</f>
        <v>18.065799999999999</v>
      </c>
      <c r="K938" s="68">
        <f>18.0705 * CHOOSE(CONTROL!$C$22, $C$13, 100%, $E$13)</f>
        <v>18.070499999999999</v>
      </c>
    </row>
    <row r="939" spans="1:11" ht="15">
      <c r="A939" s="13">
        <v>69703</v>
      </c>
      <c r="B939" s="67">
        <f>16.0129 * CHOOSE(CONTROL!$C$22, $C$13, 100%, $E$13)</f>
        <v>16.012899999999998</v>
      </c>
      <c r="C939" s="67">
        <f>16.0129 * CHOOSE(CONTROL!$C$22, $C$13, 100%, $E$13)</f>
        <v>16.012899999999998</v>
      </c>
      <c r="D939" s="67">
        <f>16.0168 * CHOOSE(CONTROL!$C$22, $C$13, 100%, $E$13)</f>
        <v>16.0168</v>
      </c>
      <c r="E939" s="68">
        <f>18.1354 * CHOOSE(CONTROL!$C$22, $C$13, 100%, $E$13)</f>
        <v>18.135400000000001</v>
      </c>
      <c r="F939" s="68">
        <f>18.1354 * CHOOSE(CONTROL!$C$22, $C$13, 100%, $E$13)</f>
        <v>18.135400000000001</v>
      </c>
      <c r="G939" s="68">
        <f>18.1402 * CHOOSE(CONTROL!$C$22, $C$13, 100%, $E$13)</f>
        <v>18.1402</v>
      </c>
      <c r="H939" s="68">
        <f>28.2484* CHOOSE(CONTROL!$C$22, $C$13, 100%, $E$13)</f>
        <v>28.2484</v>
      </c>
      <c r="I939" s="68">
        <f>28.2532 * CHOOSE(CONTROL!$C$22, $C$13, 100%, $E$13)</f>
        <v>28.2532</v>
      </c>
      <c r="J939" s="68">
        <f>18.1354 * CHOOSE(CONTROL!$C$22, $C$13, 100%, $E$13)</f>
        <v>18.135400000000001</v>
      </c>
      <c r="K939" s="68">
        <f>18.1402 * CHOOSE(CONTROL!$C$22, $C$13, 100%, $E$13)</f>
        <v>18.1402</v>
      </c>
    </row>
    <row r="940" spans="1:11" ht="15">
      <c r="A940" s="13">
        <v>69733</v>
      </c>
      <c r="B940" s="67">
        <f>16.0129 * CHOOSE(CONTROL!$C$22, $C$13, 100%, $E$13)</f>
        <v>16.012899999999998</v>
      </c>
      <c r="C940" s="67">
        <f>16.0129 * CHOOSE(CONTROL!$C$22, $C$13, 100%, $E$13)</f>
        <v>16.012899999999998</v>
      </c>
      <c r="D940" s="67">
        <f>16.0168 * CHOOSE(CONTROL!$C$22, $C$13, 100%, $E$13)</f>
        <v>16.0168</v>
      </c>
      <c r="E940" s="68">
        <f>17.9666 * CHOOSE(CONTROL!$C$22, $C$13, 100%, $E$13)</f>
        <v>17.9666</v>
      </c>
      <c r="F940" s="68">
        <f>17.9666 * CHOOSE(CONTROL!$C$22, $C$13, 100%, $E$13)</f>
        <v>17.9666</v>
      </c>
      <c r="G940" s="68">
        <f>17.9713 * CHOOSE(CONTROL!$C$22, $C$13, 100%, $E$13)</f>
        <v>17.971299999999999</v>
      </c>
      <c r="H940" s="68">
        <f>28.3072* CHOOSE(CONTROL!$C$22, $C$13, 100%, $E$13)</f>
        <v>28.307200000000002</v>
      </c>
      <c r="I940" s="68">
        <f>28.312 * CHOOSE(CONTROL!$C$22, $C$13, 100%, $E$13)</f>
        <v>28.312000000000001</v>
      </c>
      <c r="J940" s="68">
        <f>17.9666 * CHOOSE(CONTROL!$C$22, $C$13, 100%, $E$13)</f>
        <v>17.9666</v>
      </c>
      <c r="K940" s="68">
        <f>17.9713 * CHOOSE(CONTROL!$C$22, $C$13, 100%, $E$13)</f>
        <v>17.971299999999999</v>
      </c>
    </row>
    <row r="941" spans="1:11" ht="15">
      <c r="A941" s="13">
        <v>69764</v>
      </c>
      <c r="B941" s="67">
        <f>15.9633 * CHOOSE(CONTROL!$C$22, $C$13, 100%, $E$13)</f>
        <v>15.9633</v>
      </c>
      <c r="C941" s="67">
        <f>15.9633 * CHOOSE(CONTROL!$C$22, $C$13, 100%, $E$13)</f>
        <v>15.9633</v>
      </c>
      <c r="D941" s="67">
        <f>15.9672 * CHOOSE(CONTROL!$C$22, $C$13, 100%, $E$13)</f>
        <v>15.9672</v>
      </c>
      <c r="E941" s="68">
        <f>18.0508 * CHOOSE(CONTROL!$C$22, $C$13, 100%, $E$13)</f>
        <v>18.050799999999999</v>
      </c>
      <c r="F941" s="68">
        <f>18.0508 * CHOOSE(CONTROL!$C$22, $C$13, 100%, $E$13)</f>
        <v>18.050799999999999</v>
      </c>
      <c r="G941" s="68">
        <f>18.0555 * CHOOSE(CONTROL!$C$22, $C$13, 100%, $E$13)</f>
        <v>18.055499999999999</v>
      </c>
      <c r="H941" s="68">
        <f>28.0702* CHOOSE(CONTROL!$C$22, $C$13, 100%, $E$13)</f>
        <v>28.0702</v>
      </c>
      <c r="I941" s="68">
        <f>28.075 * CHOOSE(CONTROL!$C$22, $C$13, 100%, $E$13)</f>
        <v>28.074999999999999</v>
      </c>
      <c r="J941" s="68">
        <f>18.0508 * CHOOSE(CONTROL!$C$22, $C$13, 100%, $E$13)</f>
        <v>18.050799999999999</v>
      </c>
      <c r="K941" s="68">
        <f>18.0555 * CHOOSE(CONTROL!$C$22, $C$13, 100%, $E$13)</f>
        <v>18.055499999999999</v>
      </c>
    </row>
    <row r="942" spans="1:11" ht="15">
      <c r="A942" s="13">
        <v>69795</v>
      </c>
      <c r="B942" s="67">
        <f>15.9603 * CHOOSE(CONTROL!$C$22, $C$13, 100%, $E$13)</f>
        <v>15.9603</v>
      </c>
      <c r="C942" s="67">
        <f>15.9603 * CHOOSE(CONTROL!$C$22, $C$13, 100%, $E$13)</f>
        <v>15.9603</v>
      </c>
      <c r="D942" s="67">
        <f>15.9641 * CHOOSE(CONTROL!$C$22, $C$13, 100%, $E$13)</f>
        <v>15.9641</v>
      </c>
      <c r="E942" s="68">
        <f>17.7245 * CHOOSE(CONTROL!$C$22, $C$13, 100%, $E$13)</f>
        <v>17.724499999999999</v>
      </c>
      <c r="F942" s="68">
        <f>17.7245 * CHOOSE(CONTROL!$C$22, $C$13, 100%, $E$13)</f>
        <v>17.724499999999999</v>
      </c>
      <c r="G942" s="68">
        <f>17.7293 * CHOOSE(CONTROL!$C$22, $C$13, 100%, $E$13)</f>
        <v>17.729299999999999</v>
      </c>
      <c r="H942" s="68">
        <f>28.1287* CHOOSE(CONTROL!$C$22, $C$13, 100%, $E$13)</f>
        <v>28.128699999999998</v>
      </c>
      <c r="I942" s="68">
        <f>28.1334 * CHOOSE(CONTROL!$C$22, $C$13, 100%, $E$13)</f>
        <v>28.133400000000002</v>
      </c>
      <c r="J942" s="68">
        <f>17.7245 * CHOOSE(CONTROL!$C$22, $C$13, 100%, $E$13)</f>
        <v>17.724499999999999</v>
      </c>
      <c r="K942" s="68">
        <f>17.7293 * CHOOSE(CONTROL!$C$22, $C$13, 100%, $E$13)</f>
        <v>17.729299999999999</v>
      </c>
    </row>
    <row r="943" spans="1:11" ht="15">
      <c r="A943" s="13">
        <v>69823</v>
      </c>
      <c r="B943" s="67">
        <f>15.9572 * CHOOSE(CONTROL!$C$22, $C$13, 100%, $E$13)</f>
        <v>15.9572</v>
      </c>
      <c r="C943" s="67">
        <f>15.9572 * CHOOSE(CONTROL!$C$22, $C$13, 100%, $E$13)</f>
        <v>15.9572</v>
      </c>
      <c r="D943" s="67">
        <f>15.9611 * CHOOSE(CONTROL!$C$22, $C$13, 100%, $E$13)</f>
        <v>15.9611</v>
      </c>
      <c r="E943" s="68">
        <f>17.9779 * CHOOSE(CONTROL!$C$22, $C$13, 100%, $E$13)</f>
        <v>17.977900000000002</v>
      </c>
      <c r="F943" s="68">
        <f>17.9779 * CHOOSE(CONTROL!$C$22, $C$13, 100%, $E$13)</f>
        <v>17.977900000000002</v>
      </c>
      <c r="G943" s="68">
        <f>17.9827 * CHOOSE(CONTROL!$C$22, $C$13, 100%, $E$13)</f>
        <v>17.982700000000001</v>
      </c>
      <c r="H943" s="68">
        <f>28.1873* CHOOSE(CONTROL!$C$22, $C$13, 100%, $E$13)</f>
        <v>28.1873</v>
      </c>
      <c r="I943" s="68">
        <f>28.192 * CHOOSE(CONTROL!$C$22, $C$13, 100%, $E$13)</f>
        <v>28.192</v>
      </c>
      <c r="J943" s="68">
        <f>17.9779 * CHOOSE(CONTROL!$C$22, $C$13, 100%, $E$13)</f>
        <v>17.977900000000002</v>
      </c>
      <c r="K943" s="68">
        <f>17.9827 * CHOOSE(CONTROL!$C$22, $C$13, 100%, $E$13)</f>
        <v>17.982700000000001</v>
      </c>
    </row>
    <row r="944" spans="1:11" ht="15">
      <c r="A944" s="13">
        <v>69854</v>
      </c>
      <c r="B944" s="67">
        <f>15.9649 * CHOOSE(CONTROL!$C$22, $C$13, 100%, $E$13)</f>
        <v>15.9649</v>
      </c>
      <c r="C944" s="67">
        <f>15.9649 * CHOOSE(CONTROL!$C$22, $C$13, 100%, $E$13)</f>
        <v>15.9649</v>
      </c>
      <c r="D944" s="67">
        <f>15.9687 * CHOOSE(CONTROL!$C$22, $C$13, 100%, $E$13)</f>
        <v>15.9687</v>
      </c>
      <c r="E944" s="68">
        <f>18.2481 * CHOOSE(CONTROL!$C$22, $C$13, 100%, $E$13)</f>
        <v>18.248100000000001</v>
      </c>
      <c r="F944" s="68">
        <f>18.2481 * CHOOSE(CONTROL!$C$22, $C$13, 100%, $E$13)</f>
        <v>18.248100000000001</v>
      </c>
      <c r="G944" s="68">
        <f>18.2529 * CHOOSE(CONTROL!$C$22, $C$13, 100%, $E$13)</f>
        <v>18.2529</v>
      </c>
      <c r="H944" s="68">
        <f>28.246* CHOOSE(CONTROL!$C$22, $C$13, 100%, $E$13)</f>
        <v>28.245999999999999</v>
      </c>
      <c r="I944" s="68">
        <f>28.2508 * CHOOSE(CONTROL!$C$22, $C$13, 100%, $E$13)</f>
        <v>28.250800000000002</v>
      </c>
      <c r="J944" s="68">
        <f>18.2481 * CHOOSE(CONTROL!$C$22, $C$13, 100%, $E$13)</f>
        <v>18.248100000000001</v>
      </c>
      <c r="K944" s="68">
        <f>18.2529 * CHOOSE(CONTROL!$C$22, $C$13, 100%, $E$13)</f>
        <v>18.2529</v>
      </c>
    </row>
    <row r="945" spans="1:11" ht="15">
      <c r="A945" s="13">
        <v>69884</v>
      </c>
      <c r="B945" s="67">
        <f>15.9649 * CHOOSE(CONTROL!$C$22, $C$13, 100%, $E$13)</f>
        <v>15.9649</v>
      </c>
      <c r="C945" s="67">
        <f>15.9649 * CHOOSE(CONTROL!$C$22, $C$13, 100%, $E$13)</f>
        <v>15.9649</v>
      </c>
      <c r="D945" s="67">
        <f>15.9704 * CHOOSE(CONTROL!$C$22, $C$13, 100%, $E$13)</f>
        <v>15.9704</v>
      </c>
      <c r="E945" s="68">
        <f>18.351 * CHOOSE(CONTROL!$C$22, $C$13, 100%, $E$13)</f>
        <v>18.350999999999999</v>
      </c>
      <c r="F945" s="68">
        <f>18.351 * CHOOSE(CONTROL!$C$22, $C$13, 100%, $E$13)</f>
        <v>18.350999999999999</v>
      </c>
      <c r="G945" s="68">
        <f>18.3577 * CHOOSE(CONTROL!$C$22, $C$13, 100%, $E$13)</f>
        <v>18.357700000000001</v>
      </c>
      <c r="H945" s="68">
        <f>28.3048* CHOOSE(CONTROL!$C$22, $C$13, 100%, $E$13)</f>
        <v>28.3048</v>
      </c>
      <c r="I945" s="68">
        <f>28.3116 * CHOOSE(CONTROL!$C$22, $C$13, 100%, $E$13)</f>
        <v>28.311599999999999</v>
      </c>
      <c r="J945" s="68">
        <f>18.351 * CHOOSE(CONTROL!$C$22, $C$13, 100%, $E$13)</f>
        <v>18.350999999999999</v>
      </c>
      <c r="K945" s="68">
        <f>18.3577 * CHOOSE(CONTROL!$C$22, $C$13, 100%, $E$13)</f>
        <v>18.357700000000001</v>
      </c>
    </row>
    <row r="946" spans="1:11" ht="15">
      <c r="A946" s="13">
        <v>69915</v>
      </c>
      <c r="B946" s="67">
        <f>15.971 * CHOOSE(CONTROL!$C$22, $C$13, 100%, $E$13)</f>
        <v>15.971</v>
      </c>
      <c r="C946" s="67">
        <f>15.971 * CHOOSE(CONTROL!$C$22, $C$13, 100%, $E$13)</f>
        <v>15.971</v>
      </c>
      <c r="D946" s="67">
        <f>15.9765 * CHOOSE(CONTROL!$C$22, $C$13, 100%, $E$13)</f>
        <v>15.9765</v>
      </c>
      <c r="E946" s="68">
        <f>18.2523 * CHOOSE(CONTROL!$C$22, $C$13, 100%, $E$13)</f>
        <v>18.252300000000002</v>
      </c>
      <c r="F946" s="68">
        <f>18.2523 * CHOOSE(CONTROL!$C$22, $C$13, 100%, $E$13)</f>
        <v>18.252300000000002</v>
      </c>
      <c r="G946" s="68">
        <f>18.2591 * CHOOSE(CONTROL!$C$22, $C$13, 100%, $E$13)</f>
        <v>18.2591</v>
      </c>
      <c r="H946" s="68">
        <f>28.3638* CHOOSE(CONTROL!$C$22, $C$13, 100%, $E$13)</f>
        <v>28.363800000000001</v>
      </c>
      <c r="I946" s="68">
        <f>28.3706 * CHOOSE(CONTROL!$C$22, $C$13, 100%, $E$13)</f>
        <v>28.3706</v>
      </c>
      <c r="J946" s="68">
        <f>18.2523 * CHOOSE(CONTROL!$C$22, $C$13, 100%, $E$13)</f>
        <v>18.252300000000002</v>
      </c>
      <c r="K946" s="68">
        <f>18.2591 * CHOOSE(CONTROL!$C$22, $C$13, 100%, $E$13)</f>
        <v>18.2591</v>
      </c>
    </row>
    <row r="947" spans="1:11" ht="15">
      <c r="A947" s="13">
        <v>69945</v>
      </c>
      <c r="B947" s="67">
        <f>16.2119 * CHOOSE(CONTROL!$C$22, $C$13, 100%, $E$13)</f>
        <v>16.2119</v>
      </c>
      <c r="C947" s="67">
        <f>16.2119 * CHOOSE(CONTROL!$C$22, $C$13, 100%, $E$13)</f>
        <v>16.2119</v>
      </c>
      <c r="D947" s="67">
        <f>16.2174 * CHOOSE(CONTROL!$C$22, $C$13, 100%, $E$13)</f>
        <v>16.217400000000001</v>
      </c>
      <c r="E947" s="68">
        <f>18.5411 * CHOOSE(CONTROL!$C$22, $C$13, 100%, $E$13)</f>
        <v>18.5411</v>
      </c>
      <c r="F947" s="68">
        <f>18.5411 * CHOOSE(CONTROL!$C$22, $C$13, 100%, $E$13)</f>
        <v>18.5411</v>
      </c>
      <c r="G947" s="68">
        <f>18.5478 * CHOOSE(CONTROL!$C$22, $C$13, 100%, $E$13)</f>
        <v>18.547799999999999</v>
      </c>
      <c r="H947" s="68">
        <f>28.4229* CHOOSE(CONTROL!$C$22, $C$13, 100%, $E$13)</f>
        <v>28.422899999999998</v>
      </c>
      <c r="I947" s="68">
        <f>28.4296 * CHOOSE(CONTROL!$C$22, $C$13, 100%, $E$13)</f>
        <v>28.429600000000001</v>
      </c>
      <c r="J947" s="68">
        <f>18.5411 * CHOOSE(CONTROL!$C$22, $C$13, 100%, $E$13)</f>
        <v>18.5411</v>
      </c>
      <c r="K947" s="68">
        <f>18.5478 * CHOOSE(CONTROL!$C$22, $C$13, 100%, $E$13)</f>
        <v>18.547799999999999</v>
      </c>
    </row>
    <row r="948" spans="1:11" ht="15">
      <c r="A948" s="13">
        <v>69976</v>
      </c>
      <c r="B948" s="67">
        <f>16.2185 * CHOOSE(CONTROL!$C$22, $C$13, 100%, $E$13)</f>
        <v>16.218499999999999</v>
      </c>
      <c r="C948" s="67">
        <f>16.2185 * CHOOSE(CONTROL!$C$22, $C$13, 100%, $E$13)</f>
        <v>16.218499999999999</v>
      </c>
      <c r="D948" s="67">
        <f>16.224 * CHOOSE(CONTROL!$C$22, $C$13, 100%, $E$13)</f>
        <v>16.224</v>
      </c>
      <c r="E948" s="68">
        <f>18.237 * CHOOSE(CONTROL!$C$22, $C$13, 100%, $E$13)</f>
        <v>18.236999999999998</v>
      </c>
      <c r="F948" s="68">
        <f>18.237 * CHOOSE(CONTROL!$C$22, $C$13, 100%, $E$13)</f>
        <v>18.236999999999998</v>
      </c>
      <c r="G948" s="68">
        <f>18.2438 * CHOOSE(CONTROL!$C$22, $C$13, 100%, $E$13)</f>
        <v>18.2438</v>
      </c>
      <c r="H948" s="68">
        <f>28.4821* CHOOSE(CONTROL!$C$22, $C$13, 100%, $E$13)</f>
        <v>28.482099999999999</v>
      </c>
      <c r="I948" s="68">
        <f>28.4889 * CHOOSE(CONTROL!$C$22, $C$13, 100%, $E$13)</f>
        <v>28.488900000000001</v>
      </c>
      <c r="J948" s="68">
        <f>18.237 * CHOOSE(CONTROL!$C$22, $C$13, 100%, $E$13)</f>
        <v>18.236999999999998</v>
      </c>
      <c r="K948" s="68">
        <f>18.2438 * CHOOSE(CONTROL!$C$22, $C$13, 100%, $E$13)</f>
        <v>18.2438</v>
      </c>
    </row>
    <row r="949" spans="1:11" ht="15">
      <c r="A949" s="13">
        <v>70007</v>
      </c>
      <c r="B949" s="67">
        <f>16.2155 * CHOOSE(CONTROL!$C$22, $C$13, 100%, $E$13)</f>
        <v>16.215499999999999</v>
      </c>
      <c r="C949" s="67">
        <f>16.2155 * CHOOSE(CONTROL!$C$22, $C$13, 100%, $E$13)</f>
        <v>16.215499999999999</v>
      </c>
      <c r="D949" s="67">
        <f>16.221 * CHOOSE(CONTROL!$C$22, $C$13, 100%, $E$13)</f>
        <v>16.221</v>
      </c>
      <c r="E949" s="68">
        <f>18.2006 * CHOOSE(CONTROL!$C$22, $C$13, 100%, $E$13)</f>
        <v>18.200600000000001</v>
      </c>
      <c r="F949" s="68">
        <f>18.2006 * CHOOSE(CONTROL!$C$22, $C$13, 100%, $E$13)</f>
        <v>18.200600000000001</v>
      </c>
      <c r="G949" s="68">
        <f>18.2074 * CHOOSE(CONTROL!$C$22, $C$13, 100%, $E$13)</f>
        <v>18.2074</v>
      </c>
      <c r="H949" s="68">
        <f>28.5415* CHOOSE(CONTROL!$C$22, $C$13, 100%, $E$13)</f>
        <v>28.541499999999999</v>
      </c>
      <c r="I949" s="68">
        <f>28.5482 * CHOOSE(CONTROL!$C$22, $C$13, 100%, $E$13)</f>
        <v>28.548200000000001</v>
      </c>
      <c r="J949" s="68">
        <f>18.2006 * CHOOSE(CONTROL!$C$22, $C$13, 100%, $E$13)</f>
        <v>18.200600000000001</v>
      </c>
      <c r="K949" s="68">
        <f>18.2074 * CHOOSE(CONTROL!$C$22, $C$13, 100%, $E$13)</f>
        <v>18.2074</v>
      </c>
    </row>
    <row r="950" spans="1:11" ht="15">
      <c r="A950" s="13">
        <v>70037</v>
      </c>
      <c r="B950" s="67">
        <f>16.2498 * CHOOSE(CONTROL!$C$22, $C$13, 100%, $E$13)</f>
        <v>16.2498</v>
      </c>
      <c r="C950" s="67">
        <f>16.2498 * CHOOSE(CONTROL!$C$22, $C$13, 100%, $E$13)</f>
        <v>16.2498</v>
      </c>
      <c r="D950" s="67">
        <f>16.2537 * CHOOSE(CONTROL!$C$22, $C$13, 100%, $E$13)</f>
        <v>16.253699999999998</v>
      </c>
      <c r="E950" s="68">
        <f>18.3244 * CHOOSE(CONTROL!$C$22, $C$13, 100%, $E$13)</f>
        <v>18.324400000000001</v>
      </c>
      <c r="F950" s="68">
        <f>18.3244 * CHOOSE(CONTROL!$C$22, $C$13, 100%, $E$13)</f>
        <v>18.324400000000001</v>
      </c>
      <c r="G950" s="68">
        <f>18.3292 * CHOOSE(CONTROL!$C$22, $C$13, 100%, $E$13)</f>
        <v>18.3292</v>
      </c>
      <c r="H950" s="68">
        <f>28.6009* CHOOSE(CONTROL!$C$22, $C$13, 100%, $E$13)</f>
        <v>28.600899999999999</v>
      </c>
      <c r="I950" s="68">
        <f>28.6057 * CHOOSE(CONTROL!$C$22, $C$13, 100%, $E$13)</f>
        <v>28.605699999999999</v>
      </c>
      <c r="J950" s="68">
        <f>18.3244 * CHOOSE(CONTROL!$C$22, $C$13, 100%, $E$13)</f>
        <v>18.324400000000001</v>
      </c>
      <c r="K950" s="68">
        <f>18.3292 * CHOOSE(CONTROL!$C$22, $C$13, 100%, $E$13)</f>
        <v>18.3292</v>
      </c>
    </row>
    <row r="951" spans="1:11" ht="15">
      <c r="A951" s="13">
        <v>70068</v>
      </c>
      <c r="B951" s="67">
        <f>16.2529 * CHOOSE(CONTROL!$C$22, $C$13, 100%, $E$13)</f>
        <v>16.2529</v>
      </c>
      <c r="C951" s="67">
        <f>16.2529 * CHOOSE(CONTROL!$C$22, $C$13, 100%, $E$13)</f>
        <v>16.2529</v>
      </c>
      <c r="D951" s="67">
        <f>16.2567 * CHOOSE(CONTROL!$C$22, $C$13, 100%, $E$13)</f>
        <v>16.256699999999999</v>
      </c>
      <c r="E951" s="68">
        <f>18.3951 * CHOOSE(CONTROL!$C$22, $C$13, 100%, $E$13)</f>
        <v>18.395099999999999</v>
      </c>
      <c r="F951" s="68">
        <f>18.3951 * CHOOSE(CONTROL!$C$22, $C$13, 100%, $E$13)</f>
        <v>18.395099999999999</v>
      </c>
      <c r="G951" s="68">
        <f>18.3999 * CHOOSE(CONTROL!$C$22, $C$13, 100%, $E$13)</f>
        <v>18.399899999999999</v>
      </c>
      <c r="H951" s="68">
        <f>28.6605* CHOOSE(CONTROL!$C$22, $C$13, 100%, $E$13)</f>
        <v>28.660499999999999</v>
      </c>
      <c r="I951" s="68">
        <f>28.6653 * CHOOSE(CONTROL!$C$22, $C$13, 100%, $E$13)</f>
        <v>28.665299999999998</v>
      </c>
      <c r="J951" s="68">
        <f>18.3951 * CHOOSE(CONTROL!$C$22, $C$13, 100%, $E$13)</f>
        <v>18.395099999999999</v>
      </c>
      <c r="K951" s="68">
        <f>18.3999 * CHOOSE(CONTROL!$C$22, $C$13, 100%, $E$13)</f>
        <v>18.399899999999999</v>
      </c>
    </row>
    <row r="952" spans="1:11" ht="15">
      <c r="A952" s="13">
        <v>70098</v>
      </c>
      <c r="B952" s="67">
        <f>16.2529 * CHOOSE(CONTROL!$C$22, $C$13, 100%, $E$13)</f>
        <v>16.2529</v>
      </c>
      <c r="C952" s="67">
        <f>16.2529 * CHOOSE(CONTROL!$C$22, $C$13, 100%, $E$13)</f>
        <v>16.2529</v>
      </c>
      <c r="D952" s="67">
        <f>16.2567 * CHOOSE(CONTROL!$C$22, $C$13, 100%, $E$13)</f>
        <v>16.256699999999999</v>
      </c>
      <c r="E952" s="68">
        <f>18.2236 * CHOOSE(CONTROL!$C$22, $C$13, 100%, $E$13)</f>
        <v>18.223600000000001</v>
      </c>
      <c r="F952" s="68">
        <f>18.2236 * CHOOSE(CONTROL!$C$22, $C$13, 100%, $E$13)</f>
        <v>18.223600000000001</v>
      </c>
      <c r="G952" s="68">
        <f>18.2284 * CHOOSE(CONTROL!$C$22, $C$13, 100%, $E$13)</f>
        <v>18.228400000000001</v>
      </c>
      <c r="H952" s="68">
        <f>28.7202* CHOOSE(CONTROL!$C$22, $C$13, 100%, $E$13)</f>
        <v>28.720199999999998</v>
      </c>
      <c r="I952" s="68">
        <f>28.725 * CHOOSE(CONTROL!$C$22, $C$13, 100%, $E$13)</f>
        <v>28.725000000000001</v>
      </c>
      <c r="J952" s="68">
        <f>18.2236 * CHOOSE(CONTROL!$C$22, $C$13, 100%, $E$13)</f>
        <v>18.223600000000001</v>
      </c>
      <c r="K952" s="68">
        <f>18.2284 * CHOOSE(CONTROL!$C$22, $C$13, 100%, $E$13)</f>
        <v>18.228400000000001</v>
      </c>
    </row>
    <row r="953" spans="1:11" ht="15">
      <c r="A953" s="13">
        <v>70129</v>
      </c>
      <c r="B953" s="67">
        <f>16.1989 * CHOOSE(CONTROL!$C$22, $C$13, 100%, $E$13)</f>
        <v>16.198899999999998</v>
      </c>
      <c r="C953" s="67">
        <f>16.1989 * CHOOSE(CONTROL!$C$22, $C$13, 100%, $E$13)</f>
        <v>16.198899999999998</v>
      </c>
      <c r="D953" s="67">
        <f>16.2027 * CHOOSE(CONTROL!$C$22, $C$13, 100%, $E$13)</f>
        <v>16.2027</v>
      </c>
      <c r="E953" s="68">
        <f>18.3055 * CHOOSE(CONTROL!$C$22, $C$13, 100%, $E$13)</f>
        <v>18.305499999999999</v>
      </c>
      <c r="F953" s="68">
        <f>18.3055 * CHOOSE(CONTROL!$C$22, $C$13, 100%, $E$13)</f>
        <v>18.305499999999999</v>
      </c>
      <c r="G953" s="68">
        <f>18.3103 * CHOOSE(CONTROL!$C$22, $C$13, 100%, $E$13)</f>
        <v>18.310300000000002</v>
      </c>
      <c r="H953" s="68">
        <f>28.4738* CHOOSE(CONTROL!$C$22, $C$13, 100%, $E$13)</f>
        <v>28.473800000000001</v>
      </c>
      <c r="I953" s="68">
        <f>28.4786 * CHOOSE(CONTROL!$C$22, $C$13, 100%, $E$13)</f>
        <v>28.4786</v>
      </c>
      <c r="J953" s="68">
        <f>18.3055 * CHOOSE(CONTROL!$C$22, $C$13, 100%, $E$13)</f>
        <v>18.305499999999999</v>
      </c>
      <c r="K953" s="68">
        <f>18.3103 * CHOOSE(CONTROL!$C$22, $C$13, 100%, $E$13)</f>
        <v>18.310300000000002</v>
      </c>
    </row>
    <row r="954" spans="1:11" ht="15">
      <c r="A954" s="13">
        <v>70160</v>
      </c>
      <c r="B954" s="67">
        <f>16.1958 * CHOOSE(CONTROL!$C$22, $C$13, 100%, $E$13)</f>
        <v>16.195799999999998</v>
      </c>
      <c r="C954" s="67">
        <f>16.1958 * CHOOSE(CONTROL!$C$22, $C$13, 100%, $E$13)</f>
        <v>16.195799999999998</v>
      </c>
      <c r="D954" s="67">
        <f>16.1997 * CHOOSE(CONTROL!$C$22, $C$13, 100%, $E$13)</f>
        <v>16.1997</v>
      </c>
      <c r="E954" s="68">
        <f>17.9743 * CHOOSE(CONTROL!$C$22, $C$13, 100%, $E$13)</f>
        <v>17.974299999999999</v>
      </c>
      <c r="F954" s="68">
        <f>17.9743 * CHOOSE(CONTROL!$C$22, $C$13, 100%, $E$13)</f>
        <v>17.974299999999999</v>
      </c>
      <c r="G954" s="68">
        <f>17.9791 * CHOOSE(CONTROL!$C$22, $C$13, 100%, $E$13)</f>
        <v>17.979099999999999</v>
      </c>
      <c r="H954" s="68">
        <f>28.5332* CHOOSE(CONTROL!$C$22, $C$13, 100%, $E$13)</f>
        <v>28.533200000000001</v>
      </c>
      <c r="I954" s="68">
        <f>28.5379 * CHOOSE(CONTROL!$C$22, $C$13, 100%, $E$13)</f>
        <v>28.5379</v>
      </c>
      <c r="J954" s="68">
        <f>17.9743 * CHOOSE(CONTROL!$C$22, $C$13, 100%, $E$13)</f>
        <v>17.974299999999999</v>
      </c>
      <c r="K954" s="68">
        <f>17.9791 * CHOOSE(CONTROL!$C$22, $C$13, 100%, $E$13)</f>
        <v>17.979099999999999</v>
      </c>
    </row>
    <row r="955" spans="1:11" ht="15">
      <c r="A955" s="13">
        <v>70189</v>
      </c>
      <c r="B955" s="67">
        <f>16.1928 * CHOOSE(CONTROL!$C$22, $C$13, 100%, $E$13)</f>
        <v>16.192799999999998</v>
      </c>
      <c r="C955" s="67">
        <f>16.1928 * CHOOSE(CONTROL!$C$22, $C$13, 100%, $E$13)</f>
        <v>16.192799999999998</v>
      </c>
      <c r="D955" s="67">
        <f>16.1967 * CHOOSE(CONTROL!$C$22, $C$13, 100%, $E$13)</f>
        <v>16.1967</v>
      </c>
      <c r="E955" s="68">
        <f>18.2316 * CHOOSE(CONTROL!$C$22, $C$13, 100%, $E$13)</f>
        <v>18.2316</v>
      </c>
      <c r="F955" s="68">
        <f>18.2316 * CHOOSE(CONTROL!$C$22, $C$13, 100%, $E$13)</f>
        <v>18.2316</v>
      </c>
      <c r="G955" s="68">
        <f>18.2364 * CHOOSE(CONTROL!$C$22, $C$13, 100%, $E$13)</f>
        <v>18.2364</v>
      </c>
      <c r="H955" s="68">
        <f>28.5926* CHOOSE(CONTROL!$C$22, $C$13, 100%, $E$13)</f>
        <v>28.592600000000001</v>
      </c>
      <c r="I955" s="68">
        <f>28.5974 * CHOOSE(CONTROL!$C$22, $C$13, 100%, $E$13)</f>
        <v>28.5974</v>
      </c>
      <c r="J955" s="68">
        <f>18.2316 * CHOOSE(CONTROL!$C$22, $C$13, 100%, $E$13)</f>
        <v>18.2316</v>
      </c>
      <c r="K955" s="68">
        <f>18.2364 * CHOOSE(CONTROL!$C$22, $C$13, 100%, $E$13)</f>
        <v>18.2364</v>
      </c>
    </row>
    <row r="956" spans="1:11" ht="15">
      <c r="A956" s="13">
        <v>70220</v>
      </c>
      <c r="B956" s="67">
        <f>16.2006 * CHOOSE(CONTROL!$C$22, $C$13, 100%, $E$13)</f>
        <v>16.200600000000001</v>
      </c>
      <c r="C956" s="67">
        <f>16.2006 * CHOOSE(CONTROL!$C$22, $C$13, 100%, $E$13)</f>
        <v>16.200600000000001</v>
      </c>
      <c r="D956" s="67">
        <f>16.2045 * CHOOSE(CONTROL!$C$22, $C$13, 100%, $E$13)</f>
        <v>16.204499999999999</v>
      </c>
      <c r="E956" s="68">
        <f>18.5059 * CHOOSE(CONTROL!$C$22, $C$13, 100%, $E$13)</f>
        <v>18.5059</v>
      </c>
      <c r="F956" s="68">
        <f>18.5059 * CHOOSE(CONTROL!$C$22, $C$13, 100%, $E$13)</f>
        <v>18.5059</v>
      </c>
      <c r="G956" s="68">
        <f>18.5107 * CHOOSE(CONTROL!$C$22, $C$13, 100%, $E$13)</f>
        <v>18.5107</v>
      </c>
      <c r="H956" s="68">
        <f>28.6522* CHOOSE(CONTROL!$C$22, $C$13, 100%, $E$13)</f>
        <v>28.652200000000001</v>
      </c>
      <c r="I956" s="68">
        <f>28.6569 * CHOOSE(CONTROL!$C$22, $C$13, 100%, $E$13)</f>
        <v>28.6569</v>
      </c>
      <c r="J956" s="68">
        <f>18.5059 * CHOOSE(CONTROL!$C$22, $C$13, 100%, $E$13)</f>
        <v>18.5059</v>
      </c>
      <c r="K956" s="68">
        <f>18.5107 * CHOOSE(CONTROL!$C$22, $C$13, 100%, $E$13)</f>
        <v>18.5107</v>
      </c>
    </row>
    <row r="957" spans="1:11" ht="15">
      <c r="A957" s="13">
        <v>70250</v>
      </c>
      <c r="B957" s="67">
        <f>16.2006 * CHOOSE(CONTROL!$C$22, $C$13, 100%, $E$13)</f>
        <v>16.200600000000001</v>
      </c>
      <c r="C957" s="67">
        <f>16.2006 * CHOOSE(CONTROL!$C$22, $C$13, 100%, $E$13)</f>
        <v>16.200600000000001</v>
      </c>
      <c r="D957" s="67">
        <f>16.2061 * CHOOSE(CONTROL!$C$22, $C$13, 100%, $E$13)</f>
        <v>16.206099999999999</v>
      </c>
      <c r="E957" s="68">
        <f>18.6104 * CHOOSE(CONTROL!$C$22, $C$13, 100%, $E$13)</f>
        <v>18.610399999999998</v>
      </c>
      <c r="F957" s="68">
        <f>18.6104 * CHOOSE(CONTROL!$C$22, $C$13, 100%, $E$13)</f>
        <v>18.610399999999998</v>
      </c>
      <c r="G957" s="68">
        <f>18.6171 * CHOOSE(CONTROL!$C$22, $C$13, 100%, $E$13)</f>
        <v>18.617100000000001</v>
      </c>
      <c r="H957" s="68">
        <f>28.7119* CHOOSE(CONTROL!$C$22, $C$13, 100%, $E$13)</f>
        <v>28.7119</v>
      </c>
      <c r="I957" s="68">
        <f>28.7186 * CHOOSE(CONTROL!$C$22, $C$13, 100%, $E$13)</f>
        <v>28.718599999999999</v>
      </c>
      <c r="J957" s="68">
        <f>18.6104 * CHOOSE(CONTROL!$C$22, $C$13, 100%, $E$13)</f>
        <v>18.610399999999998</v>
      </c>
      <c r="K957" s="68">
        <f>18.6171 * CHOOSE(CONTROL!$C$22, $C$13, 100%, $E$13)</f>
        <v>18.617100000000001</v>
      </c>
    </row>
    <row r="958" spans="1:11" ht="15">
      <c r="A958" s="13">
        <v>70281</v>
      </c>
      <c r="B958" s="67">
        <f>16.2067 * CHOOSE(CONTROL!$C$22, $C$13, 100%, $E$13)</f>
        <v>16.206700000000001</v>
      </c>
      <c r="C958" s="67">
        <f>16.2067 * CHOOSE(CONTROL!$C$22, $C$13, 100%, $E$13)</f>
        <v>16.206700000000001</v>
      </c>
      <c r="D958" s="67">
        <f>16.2122 * CHOOSE(CONTROL!$C$22, $C$13, 100%, $E$13)</f>
        <v>16.212199999999999</v>
      </c>
      <c r="E958" s="68">
        <f>18.5102 * CHOOSE(CONTROL!$C$22, $C$13, 100%, $E$13)</f>
        <v>18.510200000000001</v>
      </c>
      <c r="F958" s="68">
        <f>18.5102 * CHOOSE(CONTROL!$C$22, $C$13, 100%, $E$13)</f>
        <v>18.510200000000001</v>
      </c>
      <c r="G958" s="68">
        <f>18.5169 * CHOOSE(CONTROL!$C$22, $C$13, 100%, $E$13)</f>
        <v>18.5169</v>
      </c>
      <c r="H958" s="68">
        <f>28.7717* CHOOSE(CONTROL!$C$22, $C$13, 100%, $E$13)</f>
        <v>28.771699999999999</v>
      </c>
      <c r="I958" s="68">
        <f>28.7784 * CHOOSE(CONTROL!$C$22, $C$13, 100%, $E$13)</f>
        <v>28.778400000000001</v>
      </c>
      <c r="J958" s="68">
        <f>18.5102 * CHOOSE(CONTROL!$C$22, $C$13, 100%, $E$13)</f>
        <v>18.510200000000001</v>
      </c>
      <c r="K958" s="68">
        <f>18.5169 * CHOOSE(CONTROL!$C$22, $C$13, 100%, $E$13)</f>
        <v>18.5169</v>
      </c>
    </row>
    <row r="959" spans="1:11" ht="15">
      <c r="A959" s="13">
        <v>70311</v>
      </c>
      <c r="B959" s="67">
        <f>16.451 * CHOOSE(CONTROL!$C$22, $C$13, 100%, $E$13)</f>
        <v>16.451000000000001</v>
      </c>
      <c r="C959" s="67">
        <f>16.451 * CHOOSE(CONTROL!$C$22, $C$13, 100%, $E$13)</f>
        <v>16.451000000000001</v>
      </c>
      <c r="D959" s="67">
        <f>16.4565 * CHOOSE(CONTROL!$C$22, $C$13, 100%, $E$13)</f>
        <v>16.456499999999998</v>
      </c>
      <c r="E959" s="68">
        <f>18.8029 * CHOOSE(CONTROL!$C$22, $C$13, 100%, $E$13)</f>
        <v>18.802900000000001</v>
      </c>
      <c r="F959" s="68">
        <f>18.8029 * CHOOSE(CONTROL!$C$22, $C$13, 100%, $E$13)</f>
        <v>18.802900000000001</v>
      </c>
      <c r="G959" s="68">
        <f>18.8096 * CHOOSE(CONTROL!$C$22, $C$13, 100%, $E$13)</f>
        <v>18.8096</v>
      </c>
      <c r="H959" s="68">
        <f>28.8316* CHOOSE(CONTROL!$C$22, $C$13, 100%, $E$13)</f>
        <v>28.831600000000002</v>
      </c>
      <c r="I959" s="68">
        <f>28.8384 * CHOOSE(CONTROL!$C$22, $C$13, 100%, $E$13)</f>
        <v>28.8384</v>
      </c>
      <c r="J959" s="68">
        <f>18.8029 * CHOOSE(CONTROL!$C$22, $C$13, 100%, $E$13)</f>
        <v>18.802900000000001</v>
      </c>
      <c r="K959" s="68">
        <f>18.8096 * CHOOSE(CONTROL!$C$22, $C$13, 100%, $E$13)</f>
        <v>18.8096</v>
      </c>
    </row>
    <row r="960" spans="1:11" ht="15">
      <c r="A960" s="13">
        <v>70342</v>
      </c>
      <c r="B960" s="67">
        <f>16.4577 * CHOOSE(CONTROL!$C$22, $C$13, 100%, $E$13)</f>
        <v>16.457699999999999</v>
      </c>
      <c r="C960" s="67">
        <f>16.4577 * CHOOSE(CONTROL!$C$22, $C$13, 100%, $E$13)</f>
        <v>16.457699999999999</v>
      </c>
      <c r="D960" s="67">
        <f>16.4632 * CHOOSE(CONTROL!$C$22, $C$13, 100%, $E$13)</f>
        <v>16.463200000000001</v>
      </c>
      <c r="E960" s="68">
        <f>18.4941 * CHOOSE(CONTROL!$C$22, $C$13, 100%, $E$13)</f>
        <v>18.4941</v>
      </c>
      <c r="F960" s="68">
        <f>18.4941 * CHOOSE(CONTROL!$C$22, $C$13, 100%, $E$13)</f>
        <v>18.4941</v>
      </c>
      <c r="G960" s="68">
        <f>18.5008 * CHOOSE(CONTROL!$C$22, $C$13, 100%, $E$13)</f>
        <v>18.500800000000002</v>
      </c>
      <c r="H960" s="68">
        <f>28.8917* CHOOSE(CONTROL!$C$22, $C$13, 100%, $E$13)</f>
        <v>28.8917</v>
      </c>
      <c r="I960" s="68">
        <f>28.8984 * CHOOSE(CONTROL!$C$22, $C$13, 100%, $E$13)</f>
        <v>28.898399999999999</v>
      </c>
      <c r="J960" s="68">
        <f>18.4941 * CHOOSE(CONTROL!$C$22, $C$13, 100%, $E$13)</f>
        <v>18.4941</v>
      </c>
      <c r="K960" s="68">
        <f>18.5008 * CHOOSE(CONTROL!$C$22, $C$13, 100%, $E$13)</f>
        <v>18.500800000000002</v>
      </c>
    </row>
    <row r="961" spans="1:11" ht="15">
      <c r="A961" s="13">
        <v>70373</v>
      </c>
      <c r="B961" s="67">
        <f>16.4547 * CHOOSE(CONTROL!$C$22, $C$13, 100%, $E$13)</f>
        <v>16.454699999999999</v>
      </c>
      <c r="C961" s="67">
        <f>16.4547 * CHOOSE(CONTROL!$C$22, $C$13, 100%, $E$13)</f>
        <v>16.454699999999999</v>
      </c>
      <c r="D961" s="67">
        <f>16.4602 * CHOOSE(CONTROL!$C$22, $C$13, 100%, $E$13)</f>
        <v>16.4602</v>
      </c>
      <c r="E961" s="68">
        <f>18.4572 * CHOOSE(CONTROL!$C$22, $C$13, 100%, $E$13)</f>
        <v>18.4572</v>
      </c>
      <c r="F961" s="68">
        <f>18.4572 * CHOOSE(CONTROL!$C$22, $C$13, 100%, $E$13)</f>
        <v>18.4572</v>
      </c>
      <c r="G961" s="68">
        <f>18.4639 * CHOOSE(CONTROL!$C$22, $C$13, 100%, $E$13)</f>
        <v>18.463899999999999</v>
      </c>
      <c r="H961" s="68">
        <f>28.9519* CHOOSE(CONTROL!$C$22, $C$13, 100%, $E$13)</f>
        <v>28.951899999999998</v>
      </c>
      <c r="I961" s="68">
        <f>28.9586 * CHOOSE(CONTROL!$C$22, $C$13, 100%, $E$13)</f>
        <v>28.958600000000001</v>
      </c>
      <c r="J961" s="68">
        <f>18.4572 * CHOOSE(CONTROL!$C$22, $C$13, 100%, $E$13)</f>
        <v>18.4572</v>
      </c>
      <c r="K961" s="68">
        <f>18.4639 * CHOOSE(CONTROL!$C$22, $C$13, 100%, $E$13)</f>
        <v>18.463899999999999</v>
      </c>
    </row>
    <row r="962" spans="1:11" ht="15">
      <c r="A962" s="13">
        <v>70403</v>
      </c>
      <c r="B962" s="67">
        <f>16.4898 * CHOOSE(CONTROL!$C$22, $C$13, 100%, $E$13)</f>
        <v>16.489799999999999</v>
      </c>
      <c r="C962" s="67">
        <f>16.4898 * CHOOSE(CONTROL!$C$22, $C$13, 100%, $E$13)</f>
        <v>16.489799999999999</v>
      </c>
      <c r="D962" s="67">
        <f>16.4936 * CHOOSE(CONTROL!$C$22, $C$13, 100%, $E$13)</f>
        <v>16.493600000000001</v>
      </c>
      <c r="E962" s="68">
        <f>18.583 * CHOOSE(CONTROL!$C$22, $C$13, 100%, $E$13)</f>
        <v>18.582999999999998</v>
      </c>
      <c r="F962" s="68">
        <f>18.583 * CHOOSE(CONTROL!$C$22, $C$13, 100%, $E$13)</f>
        <v>18.582999999999998</v>
      </c>
      <c r="G962" s="68">
        <f>18.5878 * CHOOSE(CONTROL!$C$22, $C$13, 100%, $E$13)</f>
        <v>18.587800000000001</v>
      </c>
      <c r="H962" s="68">
        <f>29.0122* CHOOSE(CONTROL!$C$22, $C$13, 100%, $E$13)</f>
        <v>29.0122</v>
      </c>
      <c r="I962" s="68">
        <f>29.017 * CHOOSE(CONTROL!$C$22, $C$13, 100%, $E$13)</f>
        <v>29.016999999999999</v>
      </c>
      <c r="J962" s="68">
        <f>18.583 * CHOOSE(CONTROL!$C$22, $C$13, 100%, $E$13)</f>
        <v>18.582999999999998</v>
      </c>
      <c r="K962" s="68">
        <f>18.5878 * CHOOSE(CONTROL!$C$22, $C$13, 100%, $E$13)</f>
        <v>18.587800000000001</v>
      </c>
    </row>
    <row r="963" spans="1:11" ht="15">
      <c r="A963" s="13">
        <v>70434</v>
      </c>
      <c r="B963" s="67">
        <f>16.4928 * CHOOSE(CONTROL!$C$22, $C$13, 100%, $E$13)</f>
        <v>16.492799999999999</v>
      </c>
      <c r="C963" s="67">
        <f>16.4928 * CHOOSE(CONTROL!$C$22, $C$13, 100%, $E$13)</f>
        <v>16.492799999999999</v>
      </c>
      <c r="D963" s="67">
        <f>16.4967 * CHOOSE(CONTROL!$C$22, $C$13, 100%, $E$13)</f>
        <v>16.496700000000001</v>
      </c>
      <c r="E963" s="68">
        <f>18.6548 * CHOOSE(CONTROL!$C$22, $C$13, 100%, $E$13)</f>
        <v>18.654800000000002</v>
      </c>
      <c r="F963" s="68">
        <f>18.6548 * CHOOSE(CONTROL!$C$22, $C$13, 100%, $E$13)</f>
        <v>18.654800000000002</v>
      </c>
      <c r="G963" s="68">
        <f>18.6596 * CHOOSE(CONTROL!$C$22, $C$13, 100%, $E$13)</f>
        <v>18.659600000000001</v>
      </c>
      <c r="H963" s="68">
        <f>29.0726* CHOOSE(CONTROL!$C$22, $C$13, 100%, $E$13)</f>
        <v>29.072600000000001</v>
      </c>
      <c r="I963" s="68">
        <f>29.0774 * CHOOSE(CONTROL!$C$22, $C$13, 100%, $E$13)</f>
        <v>29.077400000000001</v>
      </c>
      <c r="J963" s="68">
        <f>18.6548 * CHOOSE(CONTROL!$C$22, $C$13, 100%, $E$13)</f>
        <v>18.654800000000002</v>
      </c>
      <c r="K963" s="68">
        <f>18.6596 * CHOOSE(CONTROL!$C$22, $C$13, 100%, $E$13)</f>
        <v>18.659600000000001</v>
      </c>
    </row>
    <row r="964" spans="1:11" ht="15">
      <c r="A964" s="13">
        <v>70464</v>
      </c>
      <c r="B964" s="67">
        <f>16.4928 * CHOOSE(CONTROL!$C$22, $C$13, 100%, $E$13)</f>
        <v>16.492799999999999</v>
      </c>
      <c r="C964" s="67">
        <f>16.4928 * CHOOSE(CONTROL!$C$22, $C$13, 100%, $E$13)</f>
        <v>16.492799999999999</v>
      </c>
      <c r="D964" s="67">
        <f>16.4967 * CHOOSE(CONTROL!$C$22, $C$13, 100%, $E$13)</f>
        <v>16.496700000000001</v>
      </c>
      <c r="E964" s="68">
        <f>18.4807 * CHOOSE(CONTROL!$C$22, $C$13, 100%, $E$13)</f>
        <v>18.480699999999999</v>
      </c>
      <c r="F964" s="68">
        <f>18.4807 * CHOOSE(CONTROL!$C$22, $C$13, 100%, $E$13)</f>
        <v>18.480699999999999</v>
      </c>
      <c r="G964" s="68">
        <f>18.4855 * CHOOSE(CONTROL!$C$22, $C$13, 100%, $E$13)</f>
        <v>18.485499999999998</v>
      </c>
      <c r="H964" s="68">
        <f>29.1332* CHOOSE(CONTROL!$C$22, $C$13, 100%, $E$13)</f>
        <v>29.133199999999999</v>
      </c>
      <c r="I964" s="68">
        <f>29.138 * CHOOSE(CONTROL!$C$22, $C$13, 100%, $E$13)</f>
        <v>29.138000000000002</v>
      </c>
      <c r="J964" s="68">
        <f>18.4807 * CHOOSE(CONTROL!$C$22, $C$13, 100%, $E$13)</f>
        <v>18.480699999999999</v>
      </c>
      <c r="K964" s="68">
        <f>18.4855 * CHOOSE(CONTROL!$C$22, $C$13, 100%, $E$13)</f>
        <v>18.485499999999998</v>
      </c>
    </row>
    <row r="965" spans="1:11" ht="15">
      <c r="A965" s="13">
        <v>70495</v>
      </c>
      <c r="B965" s="67">
        <f>16.4344 * CHOOSE(CONTROL!$C$22, $C$13, 100%, $E$13)</f>
        <v>16.4344</v>
      </c>
      <c r="C965" s="67">
        <f>16.4344 * CHOOSE(CONTROL!$C$22, $C$13, 100%, $E$13)</f>
        <v>16.4344</v>
      </c>
      <c r="D965" s="67">
        <f>16.4383 * CHOOSE(CONTROL!$C$22, $C$13, 100%, $E$13)</f>
        <v>16.438300000000002</v>
      </c>
      <c r="E965" s="68">
        <f>18.5602 * CHOOSE(CONTROL!$C$22, $C$13, 100%, $E$13)</f>
        <v>18.560199999999998</v>
      </c>
      <c r="F965" s="68">
        <f>18.5602 * CHOOSE(CONTROL!$C$22, $C$13, 100%, $E$13)</f>
        <v>18.560199999999998</v>
      </c>
      <c r="G965" s="68">
        <f>18.565 * CHOOSE(CONTROL!$C$22, $C$13, 100%, $E$13)</f>
        <v>18.565000000000001</v>
      </c>
      <c r="H965" s="68">
        <f>28.8775* CHOOSE(CONTROL!$C$22, $C$13, 100%, $E$13)</f>
        <v>28.877500000000001</v>
      </c>
      <c r="I965" s="68">
        <f>28.8822 * CHOOSE(CONTROL!$C$22, $C$13, 100%, $E$13)</f>
        <v>28.882200000000001</v>
      </c>
      <c r="J965" s="68">
        <f>18.5602 * CHOOSE(CONTROL!$C$22, $C$13, 100%, $E$13)</f>
        <v>18.560199999999998</v>
      </c>
      <c r="K965" s="68">
        <f>18.565 * CHOOSE(CONTROL!$C$22, $C$13, 100%, $E$13)</f>
        <v>18.565000000000001</v>
      </c>
    </row>
    <row r="966" spans="1:11" ht="15">
      <c r="A966" s="13">
        <v>70526</v>
      </c>
      <c r="B966" s="67">
        <f>16.4314 * CHOOSE(CONTROL!$C$22, $C$13, 100%, $E$13)</f>
        <v>16.4314</v>
      </c>
      <c r="C966" s="67">
        <f>16.4314 * CHOOSE(CONTROL!$C$22, $C$13, 100%, $E$13)</f>
        <v>16.4314</v>
      </c>
      <c r="D966" s="67">
        <f>16.4353 * CHOOSE(CONTROL!$C$22, $C$13, 100%, $E$13)</f>
        <v>16.435300000000002</v>
      </c>
      <c r="E966" s="68">
        <f>18.2241 * CHOOSE(CONTROL!$C$22, $C$13, 100%, $E$13)</f>
        <v>18.2241</v>
      </c>
      <c r="F966" s="68">
        <f>18.2241 * CHOOSE(CONTROL!$C$22, $C$13, 100%, $E$13)</f>
        <v>18.2241</v>
      </c>
      <c r="G966" s="68">
        <f>18.2289 * CHOOSE(CONTROL!$C$22, $C$13, 100%, $E$13)</f>
        <v>18.228899999999999</v>
      </c>
      <c r="H966" s="68">
        <f>28.9376* CHOOSE(CONTROL!$C$22, $C$13, 100%, $E$13)</f>
        <v>28.9376</v>
      </c>
      <c r="I966" s="68">
        <f>28.9424 * CHOOSE(CONTROL!$C$22, $C$13, 100%, $E$13)</f>
        <v>28.942399999999999</v>
      </c>
      <c r="J966" s="68">
        <f>18.2241 * CHOOSE(CONTROL!$C$22, $C$13, 100%, $E$13)</f>
        <v>18.2241</v>
      </c>
      <c r="K966" s="68">
        <f>18.2289 * CHOOSE(CONTROL!$C$22, $C$13, 100%, $E$13)</f>
        <v>18.228899999999999</v>
      </c>
    </row>
    <row r="967" spans="1:11" ht="15">
      <c r="A967" s="13">
        <v>70554</v>
      </c>
      <c r="B967" s="67">
        <f>16.4284 * CHOOSE(CONTROL!$C$22, $C$13, 100%, $E$13)</f>
        <v>16.4284</v>
      </c>
      <c r="C967" s="67">
        <f>16.4284 * CHOOSE(CONTROL!$C$22, $C$13, 100%, $E$13)</f>
        <v>16.4284</v>
      </c>
      <c r="D967" s="67">
        <f>16.4322 * CHOOSE(CONTROL!$C$22, $C$13, 100%, $E$13)</f>
        <v>16.432200000000002</v>
      </c>
      <c r="E967" s="68">
        <f>18.4853 * CHOOSE(CONTROL!$C$22, $C$13, 100%, $E$13)</f>
        <v>18.485299999999999</v>
      </c>
      <c r="F967" s="68">
        <f>18.4853 * CHOOSE(CONTROL!$C$22, $C$13, 100%, $E$13)</f>
        <v>18.485299999999999</v>
      </c>
      <c r="G967" s="68">
        <f>18.49 * CHOOSE(CONTROL!$C$22, $C$13, 100%, $E$13)</f>
        <v>18.489999999999998</v>
      </c>
      <c r="H967" s="68">
        <f>28.9979* CHOOSE(CONTROL!$C$22, $C$13, 100%, $E$13)</f>
        <v>28.997900000000001</v>
      </c>
      <c r="I967" s="68">
        <f>29.0027 * CHOOSE(CONTROL!$C$22, $C$13, 100%, $E$13)</f>
        <v>29.002700000000001</v>
      </c>
      <c r="J967" s="68">
        <f>18.4853 * CHOOSE(CONTROL!$C$22, $C$13, 100%, $E$13)</f>
        <v>18.485299999999999</v>
      </c>
      <c r="K967" s="68">
        <f>18.49 * CHOOSE(CONTROL!$C$22, $C$13, 100%, $E$13)</f>
        <v>18.489999999999998</v>
      </c>
    </row>
    <row r="968" spans="1:11" ht="15">
      <c r="A968" s="13">
        <v>70585</v>
      </c>
      <c r="B968" s="67">
        <f>16.4364 * CHOOSE(CONTROL!$C$22, $C$13, 100%, $E$13)</f>
        <v>16.436399999999999</v>
      </c>
      <c r="C968" s="67">
        <f>16.4364 * CHOOSE(CONTROL!$C$22, $C$13, 100%, $E$13)</f>
        <v>16.436399999999999</v>
      </c>
      <c r="D968" s="67">
        <f>16.4403 * CHOOSE(CONTROL!$C$22, $C$13, 100%, $E$13)</f>
        <v>16.440300000000001</v>
      </c>
      <c r="E968" s="68">
        <f>18.7638 * CHOOSE(CONTROL!$C$22, $C$13, 100%, $E$13)</f>
        <v>18.7638</v>
      </c>
      <c r="F968" s="68">
        <f>18.7638 * CHOOSE(CONTROL!$C$22, $C$13, 100%, $E$13)</f>
        <v>18.7638</v>
      </c>
      <c r="G968" s="68">
        <f>18.7686 * CHOOSE(CONTROL!$C$22, $C$13, 100%, $E$13)</f>
        <v>18.768599999999999</v>
      </c>
      <c r="H968" s="68">
        <f>29.0583* CHOOSE(CONTROL!$C$22, $C$13, 100%, $E$13)</f>
        <v>29.058299999999999</v>
      </c>
      <c r="I968" s="68">
        <f>29.0631 * CHOOSE(CONTROL!$C$22, $C$13, 100%, $E$13)</f>
        <v>29.063099999999999</v>
      </c>
      <c r="J968" s="68">
        <f>18.7638 * CHOOSE(CONTROL!$C$22, $C$13, 100%, $E$13)</f>
        <v>18.7638</v>
      </c>
      <c r="K968" s="68">
        <f>18.7686 * CHOOSE(CONTROL!$C$22, $C$13, 100%, $E$13)</f>
        <v>18.768599999999999</v>
      </c>
    </row>
    <row r="969" spans="1:11" ht="15">
      <c r="A969" s="13">
        <v>70615</v>
      </c>
      <c r="B969" s="67">
        <f>16.4364 * CHOOSE(CONTROL!$C$22, $C$13, 100%, $E$13)</f>
        <v>16.436399999999999</v>
      </c>
      <c r="C969" s="67">
        <f>16.4364 * CHOOSE(CONTROL!$C$22, $C$13, 100%, $E$13)</f>
        <v>16.436399999999999</v>
      </c>
      <c r="D969" s="67">
        <f>16.4419 * CHOOSE(CONTROL!$C$22, $C$13, 100%, $E$13)</f>
        <v>16.4419</v>
      </c>
      <c r="E969" s="68">
        <f>18.8698 * CHOOSE(CONTROL!$C$22, $C$13, 100%, $E$13)</f>
        <v>18.869800000000001</v>
      </c>
      <c r="F969" s="68">
        <f>18.8698 * CHOOSE(CONTROL!$C$22, $C$13, 100%, $E$13)</f>
        <v>18.869800000000001</v>
      </c>
      <c r="G969" s="68">
        <f>18.8766 * CHOOSE(CONTROL!$C$22, $C$13, 100%, $E$13)</f>
        <v>18.8766</v>
      </c>
      <c r="H969" s="68">
        <f>29.1189* CHOOSE(CONTROL!$C$22, $C$13, 100%, $E$13)</f>
        <v>29.1189</v>
      </c>
      <c r="I969" s="68">
        <f>29.1256 * CHOOSE(CONTROL!$C$22, $C$13, 100%, $E$13)</f>
        <v>29.125599999999999</v>
      </c>
      <c r="J969" s="68">
        <f>18.8698 * CHOOSE(CONTROL!$C$22, $C$13, 100%, $E$13)</f>
        <v>18.869800000000001</v>
      </c>
      <c r="K969" s="68">
        <f>18.8766 * CHOOSE(CONTROL!$C$22, $C$13, 100%, $E$13)</f>
        <v>18.8766</v>
      </c>
    </row>
    <row r="970" spans="1:11" ht="15">
      <c r="A970" s="13">
        <v>70646</v>
      </c>
      <c r="B970" s="67">
        <f>16.4425 * CHOOSE(CONTROL!$C$22, $C$13, 100%, $E$13)</f>
        <v>16.442499999999999</v>
      </c>
      <c r="C970" s="67">
        <f>16.4425 * CHOOSE(CONTROL!$C$22, $C$13, 100%, $E$13)</f>
        <v>16.442499999999999</v>
      </c>
      <c r="D970" s="67">
        <f>16.448 * CHOOSE(CONTROL!$C$22, $C$13, 100%, $E$13)</f>
        <v>16.448</v>
      </c>
      <c r="E970" s="68">
        <f>18.768 * CHOOSE(CONTROL!$C$22, $C$13, 100%, $E$13)</f>
        <v>18.768000000000001</v>
      </c>
      <c r="F970" s="68">
        <f>18.768 * CHOOSE(CONTROL!$C$22, $C$13, 100%, $E$13)</f>
        <v>18.768000000000001</v>
      </c>
      <c r="G970" s="68">
        <f>18.7748 * CHOOSE(CONTROL!$C$22, $C$13, 100%, $E$13)</f>
        <v>18.774799999999999</v>
      </c>
      <c r="H970" s="68">
        <f>29.1795* CHOOSE(CONTROL!$C$22, $C$13, 100%, $E$13)</f>
        <v>29.179500000000001</v>
      </c>
      <c r="I970" s="68">
        <f>29.1863 * CHOOSE(CONTROL!$C$22, $C$13, 100%, $E$13)</f>
        <v>29.186299999999999</v>
      </c>
      <c r="J970" s="68">
        <f>18.768 * CHOOSE(CONTROL!$C$22, $C$13, 100%, $E$13)</f>
        <v>18.768000000000001</v>
      </c>
      <c r="K970" s="68">
        <f>18.7748 * CHOOSE(CONTROL!$C$22, $C$13, 100%, $E$13)</f>
        <v>18.774799999999999</v>
      </c>
    </row>
    <row r="971" spans="1:11" ht="15">
      <c r="A971" s="13">
        <v>70676</v>
      </c>
      <c r="B971" s="67">
        <f>16.6902 * CHOOSE(CONTROL!$C$22, $C$13, 100%, $E$13)</f>
        <v>16.690200000000001</v>
      </c>
      <c r="C971" s="67">
        <f>16.6902 * CHOOSE(CONTROL!$C$22, $C$13, 100%, $E$13)</f>
        <v>16.690200000000001</v>
      </c>
      <c r="D971" s="67">
        <f>16.6957 * CHOOSE(CONTROL!$C$22, $C$13, 100%, $E$13)</f>
        <v>16.695699999999999</v>
      </c>
      <c r="E971" s="68">
        <f>19.0646 * CHOOSE(CONTROL!$C$22, $C$13, 100%, $E$13)</f>
        <v>19.064599999999999</v>
      </c>
      <c r="F971" s="68">
        <f>19.0646 * CHOOSE(CONTROL!$C$22, $C$13, 100%, $E$13)</f>
        <v>19.064599999999999</v>
      </c>
      <c r="G971" s="68">
        <f>19.0714 * CHOOSE(CONTROL!$C$22, $C$13, 100%, $E$13)</f>
        <v>19.071400000000001</v>
      </c>
      <c r="H971" s="68">
        <f>29.2403* CHOOSE(CONTROL!$C$22, $C$13, 100%, $E$13)</f>
        <v>29.240300000000001</v>
      </c>
      <c r="I971" s="68">
        <f>29.2471 * CHOOSE(CONTROL!$C$22, $C$13, 100%, $E$13)</f>
        <v>29.2471</v>
      </c>
      <c r="J971" s="68">
        <f>19.0646 * CHOOSE(CONTROL!$C$22, $C$13, 100%, $E$13)</f>
        <v>19.064599999999999</v>
      </c>
      <c r="K971" s="68">
        <f>19.0714 * CHOOSE(CONTROL!$C$22, $C$13, 100%, $E$13)</f>
        <v>19.071400000000001</v>
      </c>
    </row>
    <row r="972" spans="1:11" ht="15">
      <c r="A972" s="13">
        <v>70707</v>
      </c>
      <c r="B972" s="67">
        <f>16.6969 * CHOOSE(CONTROL!$C$22, $C$13, 100%, $E$13)</f>
        <v>16.696899999999999</v>
      </c>
      <c r="C972" s="67">
        <f>16.6969 * CHOOSE(CONTROL!$C$22, $C$13, 100%, $E$13)</f>
        <v>16.696899999999999</v>
      </c>
      <c r="D972" s="67">
        <f>16.7024 * CHOOSE(CONTROL!$C$22, $C$13, 100%, $E$13)</f>
        <v>16.702400000000001</v>
      </c>
      <c r="E972" s="68">
        <f>18.7512 * CHOOSE(CONTROL!$C$22, $C$13, 100%, $E$13)</f>
        <v>18.751200000000001</v>
      </c>
      <c r="F972" s="68">
        <f>18.7512 * CHOOSE(CONTROL!$C$22, $C$13, 100%, $E$13)</f>
        <v>18.751200000000001</v>
      </c>
      <c r="G972" s="68">
        <f>18.7579 * CHOOSE(CONTROL!$C$22, $C$13, 100%, $E$13)</f>
        <v>18.757899999999999</v>
      </c>
      <c r="H972" s="68">
        <f>29.3012* CHOOSE(CONTROL!$C$22, $C$13, 100%, $E$13)</f>
        <v>29.301200000000001</v>
      </c>
      <c r="I972" s="68">
        <f>29.308 * CHOOSE(CONTROL!$C$22, $C$13, 100%, $E$13)</f>
        <v>29.308</v>
      </c>
      <c r="J972" s="68">
        <f>18.7512 * CHOOSE(CONTROL!$C$22, $C$13, 100%, $E$13)</f>
        <v>18.751200000000001</v>
      </c>
      <c r="K972" s="68">
        <f>18.7579 * CHOOSE(CONTROL!$C$22, $C$13, 100%, $E$13)</f>
        <v>18.757899999999999</v>
      </c>
    </row>
    <row r="973" spans="1:11" ht="15">
      <c r="A973" s="13">
        <v>70738</v>
      </c>
      <c r="B973" s="67">
        <f>16.6939 * CHOOSE(CONTROL!$C$22, $C$13, 100%, $E$13)</f>
        <v>16.693899999999999</v>
      </c>
      <c r="C973" s="67">
        <f>16.6939 * CHOOSE(CONTROL!$C$22, $C$13, 100%, $E$13)</f>
        <v>16.693899999999999</v>
      </c>
      <c r="D973" s="67">
        <f>16.6994 * CHOOSE(CONTROL!$C$22, $C$13, 100%, $E$13)</f>
        <v>16.699400000000001</v>
      </c>
      <c r="E973" s="68">
        <f>18.7137 * CHOOSE(CONTROL!$C$22, $C$13, 100%, $E$13)</f>
        <v>18.713699999999999</v>
      </c>
      <c r="F973" s="68">
        <f>18.7137 * CHOOSE(CONTROL!$C$22, $C$13, 100%, $E$13)</f>
        <v>18.713699999999999</v>
      </c>
      <c r="G973" s="68">
        <f>18.7205 * CHOOSE(CONTROL!$C$22, $C$13, 100%, $E$13)</f>
        <v>18.720500000000001</v>
      </c>
      <c r="H973" s="68">
        <f>29.3623* CHOOSE(CONTROL!$C$22, $C$13, 100%, $E$13)</f>
        <v>29.362300000000001</v>
      </c>
      <c r="I973" s="68">
        <f>29.369 * CHOOSE(CONTROL!$C$22, $C$13, 100%, $E$13)</f>
        <v>29.369</v>
      </c>
      <c r="J973" s="68">
        <f>18.7137 * CHOOSE(CONTROL!$C$22, $C$13, 100%, $E$13)</f>
        <v>18.713699999999999</v>
      </c>
      <c r="K973" s="68">
        <f>18.7205 * CHOOSE(CONTROL!$C$22, $C$13, 100%, $E$13)</f>
        <v>18.720500000000001</v>
      </c>
    </row>
    <row r="974" spans="1:11" ht="15">
      <c r="A974" s="13">
        <v>70768</v>
      </c>
      <c r="B974" s="67">
        <f>16.7297 * CHOOSE(CONTROL!$C$22, $C$13, 100%, $E$13)</f>
        <v>16.729700000000001</v>
      </c>
      <c r="C974" s="67">
        <f>16.7297 * CHOOSE(CONTROL!$C$22, $C$13, 100%, $E$13)</f>
        <v>16.729700000000001</v>
      </c>
      <c r="D974" s="67">
        <f>16.7336 * CHOOSE(CONTROL!$C$22, $C$13, 100%, $E$13)</f>
        <v>16.733599999999999</v>
      </c>
      <c r="E974" s="68">
        <f>18.8417 * CHOOSE(CONTROL!$C$22, $C$13, 100%, $E$13)</f>
        <v>18.841699999999999</v>
      </c>
      <c r="F974" s="68">
        <f>18.8417 * CHOOSE(CONTROL!$C$22, $C$13, 100%, $E$13)</f>
        <v>18.841699999999999</v>
      </c>
      <c r="G974" s="68">
        <f>18.8464 * CHOOSE(CONTROL!$C$22, $C$13, 100%, $E$13)</f>
        <v>18.846399999999999</v>
      </c>
      <c r="H974" s="68">
        <f>29.4235* CHOOSE(CONTROL!$C$22, $C$13, 100%, $E$13)</f>
        <v>29.423500000000001</v>
      </c>
      <c r="I974" s="68">
        <f>29.4282 * CHOOSE(CONTROL!$C$22, $C$13, 100%, $E$13)</f>
        <v>29.4282</v>
      </c>
      <c r="J974" s="68">
        <f>18.8417 * CHOOSE(CONTROL!$C$22, $C$13, 100%, $E$13)</f>
        <v>18.841699999999999</v>
      </c>
      <c r="K974" s="68">
        <f>18.8464 * CHOOSE(CONTROL!$C$22, $C$13, 100%, $E$13)</f>
        <v>18.846399999999999</v>
      </c>
    </row>
    <row r="975" spans="1:11" ht="15">
      <c r="A975" s="13">
        <v>70799</v>
      </c>
      <c r="B975" s="67">
        <f>16.7327 * CHOOSE(CONTROL!$C$22, $C$13, 100%, $E$13)</f>
        <v>16.732700000000001</v>
      </c>
      <c r="C975" s="67">
        <f>16.7327 * CHOOSE(CONTROL!$C$22, $C$13, 100%, $E$13)</f>
        <v>16.732700000000001</v>
      </c>
      <c r="D975" s="67">
        <f>16.7366 * CHOOSE(CONTROL!$C$22, $C$13, 100%, $E$13)</f>
        <v>16.736599999999999</v>
      </c>
      <c r="E975" s="68">
        <f>18.9145 * CHOOSE(CONTROL!$C$22, $C$13, 100%, $E$13)</f>
        <v>18.9145</v>
      </c>
      <c r="F975" s="68">
        <f>18.9145 * CHOOSE(CONTROL!$C$22, $C$13, 100%, $E$13)</f>
        <v>18.9145</v>
      </c>
      <c r="G975" s="68">
        <f>18.9193 * CHOOSE(CONTROL!$C$22, $C$13, 100%, $E$13)</f>
        <v>18.9193</v>
      </c>
      <c r="H975" s="68">
        <f>29.4848* CHOOSE(CONTROL!$C$22, $C$13, 100%, $E$13)</f>
        <v>29.4848</v>
      </c>
      <c r="I975" s="68">
        <f>29.4895 * CHOOSE(CONTROL!$C$22, $C$13, 100%, $E$13)</f>
        <v>29.4895</v>
      </c>
      <c r="J975" s="68">
        <f>18.9145 * CHOOSE(CONTROL!$C$22, $C$13, 100%, $E$13)</f>
        <v>18.9145</v>
      </c>
      <c r="K975" s="68">
        <f>18.9193 * CHOOSE(CONTROL!$C$22, $C$13, 100%, $E$13)</f>
        <v>18.9193</v>
      </c>
    </row>
    <row r="976" spans="1:11" ht="15">
      <c r="A976" s="13">
        <v>70829</v>
      </c>
      <c r="B976" s="67">
        <f>16.7327 * CHOOSE(CONTROL!$C$22, $C$13, 100%, $E$13)</f>
        <v>16.732700000000001</v>
      </c>
      <c r="C976" s="67">
        <f>16.7327 * CHOOSE(CONTROL!$C$22, $C$13, 100%, $E$13)</f>
        <v>16.732700000000001</v>
      </c>
      <c r="D976" s="67">
        <f>16.7366 * CHOOSE(CONTROL!$C$22, $C$13, 100%, $E$13)</f>
        <v>16.736599999999999</v>
      </c>
      <c r="E976" s="68">
        <f>18.7378 * CHOOSE(CONTROL!$C$22, $C$13, 100%, $E$13)</f>
        <v>18.7378</v>
      </c>
      <c r="F976" s="68">
        <f>18.7378 * CHOOSE(CONTROL!$C$22, $C$13, 100%, $E$13)</f>
        <v>18.7378</v>
      </c>
      <c r="G976" s="68">
        <f>18.7425 * CHOOSE(CONTROL!$C$22, $C$13, 100%, $E$13)</f>
        <v>18.7425</v>
      </c>
      <c r="H976" s="68">
        <f>29.5462* CHOOSE(CONTROL!$C$22, $C$13, 100%, $E$13)</f>
        <v>29.546199999999999</v>
      </c>
      <c r="I976" s="68">
        <f>29.5509 * CHOOSE(CONTROL!$C$22, $C$13, 100%, $E$13)</f>
        <v>29.550899999999999</v>
      </c>
      <c r="J976" s="68">
        <f>18.7378 * CHOOSE(CONTROL!$C$22, $C$13, 100%, $E$13)</f>
        <v>18.7378</v>
      </c>
      <c r="K976" s="68">
        <f>18.7425 * CHOOSE(CONTROL!$C$22, $C$13, 100%, $E$13)</f>
        <v>18.7425</v>
      </c>
    </row>
    <row r="977" spans="1:11" ht="15">
      <c r="A977" s="13">
        <v>70860</v>
      </c>
      <c r="B977" s="67">
        <f>16.67 * CHOOSE(CONTROL!$C$22, $C$13, 100%, $E$13)</f>
        <v>16.670000000000002</v>
      </c>
      <c r="C977" s="67">
        <f>16.67 * CHOOSE(CONTROL!$C$22, $C$13, 100%, $E$13)</f>
        <v>16.670000000000002</v>
      </c>
      <c r="D977" s="67">
        <f>16.6739 * CHOOSE(CONTROL!$C$22, $C$13, 100%, $E$13)</f>
        <v>16.6739</v>
      </c>
      <c r="E977" s="68">
        <f>18.8149 * CHOOSE(CONTROL!$C$22, $C$13, 100%, $E$13)</f>
        <v>18.814900000000002</v>
      </c>
      <c r="F977" s="68">
        <f>18.8149 * CHOOSE(CONTROL!$C$22, $C$13, 100%, $E$13)</f>
        <v>18.814900000000002</v>
      </c>
      <c r="G977" s="68">
        <f>18.8197 * CHOOSE(CONTROL!$C$22, $C$13, 100%, $E$13)</f>
        <v>18.819700000000001</v>
      </c>
      <c r="H977" s="68">
        <f>29.2811* CHOOSE(CONTROL!$C$22, $C$13, 100%, $E$13)</f>
        <v>29.281099999999999</v>
      </c>
      <c r="I977" s="68">
        <f>29.2859 * CHOOSE(CONTROL!$C$22, $C$13, 100%, $E$13)</f>
        <v>29.285900000000002</v>
      </c>
      <c r="J977" s="68">
        <f>18.8149 * CHOOSE(CONTROL!$C$22, $C$13, 100%, $E$13)</f>
        <v>18.814900000000002</v>
      </c>
      <c r="K977" s="68">
        <f>18.8197 * CHOOSE(CONTROL!$C$22, $C$13, 100%, $E$13)</f>
        <v>18.819700000000001</v>
      </c>
    </row>
    <row r="978" spans="1:11" ht="15">
      <c r="A978" s="13">
        <v>70891</v>
      </c>
      <c r="B978" s="67">
        <f>16.667 * CHOOSE(CONTROL!$C$22, $C$13, 100%, $E$13)</f>
        <v>16.667000000000002</v>
      </c>
      <c r="C978" s="67">
        <f>16.667 * CHOOSE(CONTROL!$C$22, $C$13, 100%, $E$13)</f>
        <v>16.667000000000002</v>
      </c>
      <c r="D978" s="67">
        <f>16.6708 * CHOOSE(CONTROL!$C$22, $C$13, 100%, $E$13)</f>
        <v>16.6708</v>
      </c>
      <c r="E978" s="68">
        <f>18.4739 * CHOOSE(CONTROL!$C$22, $C$13, 100%, $E$13)</f>
        <v>18.4739</v>
      </c>
      <c r="F978" s="68">
        <f>18.4739 * CHOOSE(CONTROL!$C$22, $C$13, 100%, $E$13)</f>
        <v>18.4739</v>
      </c>
      <c r="G978" s="68">
        <f>18.4787 * CHOOSE(CONTROL!$C$22, $C$13, 100%, $E$13)</f>
        <v>18.4787</v>
      </c>
      <c r="H978" s="68">
        <f>29.3421* CHOOSE(CONTROL!$C$22, $C$13, 100%, $E$13)</f>
        <v>29.342099999999999</v>
      </c>
      <c r="I978" s="68">
        <f>29.3469 * CHOOSE(CONTROL!$C$22, $C$13, 100%, $E$13)</f>
        <v>29.346900000000002</v>
      </c>
      <c r="J978" s="68">
        <f>18.4739 * CHOOSE(CONTROL!$C$22, $C$13, 100%, $E$13)</f>
        <v>18.4739</v>
      </c>
      <c r="K978" s="68">
        <f>18.4787 * CHOOSE(CONTROL!$C$22, $C$13, 100%, $E$13)</f>
        <v>18.4787</v>
      </c>
    </row>
    <row r="979" spans="1:11" ht="15">
      <c r="A979" s="13">
        <v>70919</v>
      </c>
      <c r="B979" s="67">
        <f>16.6639 * CHOOSE(CONTROL!$C$22, $C$13, 100%, $E$13)</f>
        <v>16.663900000000002</v>
      </c>
      <c r="C979" s="67">
        <f>16.6639 * CHOOSE(CONTROL!$C$22, $C$13, 100%, $E$13)</f>
        <v>16.663900000000002</v>
      </c>
      <c r="D979" s="67">
        <f>16.6678 * CHOOSE(CONTROL!$C$22, $C$13, 100%, $E$13)</f>
        <v>16.6678</v>
      </c>
      <c r="E979" s="68">
        <f>18.739 * CHOOSE(CONTROL!$C$22, $C$13, 100%, $E$13)</f>
        <v>18.739000000000001</v>
      </c>
      <c r="F979" s="68">
        <f>18.739 * CHOOSE(CONTROL!$C$22, $C$13, 100%, $E$13)</f>
        <v>18.739000000000001</v>
      </c>
      <c r="G979" s="68">
        <f>18.7437 * CHOOSE(CONTROL!$C$22, $C$13, 100%, $E$13)</f>
        <v>18.7437</v>
      </c>
      <c r="H979" s="68">
        <f>29.4032* CHOOSE(CONTROL!$C$22, $C$13, 100%, $E$13)</f>
        <v>29.403199999999998</v>
      </c>
      <c r="I979" s="68">
        <f>29.408 * CHOOSE(CONTROL!$C$22, $C$13, 100%, $E$13)</f>
        <v>29.408000000000001</v>
      </c>
      <c r="J979" s="68">
        <f>18.739 * CHOOSE(CONTROL!$C$22, $C$13, 100%, $E$13)</f>
        <v>18.739000000000001</v>
      </c>
      <c r="K979" s="68">
        <f>18.7437 * CHOOSE(CONTROL!$C$22, $C$13, 100%, $E$13)</f>
        <v>18.7437</v>
      </c>
    </row>
    <row r="980" spans="1:11" ht="15">
      <c r="A980" s="13">
        <v>70950</v>
      </c>
      <c r="B980" s="67">
        <f>16.6722 * CHOOSE(CONTROL!$C$22, $C$13, 100%, $E$13)</f>
        <v>16.6722</v>
      </c>
      <c r="C980" s="67">
        <f>16.6722 * CHOOSE(CONTROL!$C$22, $C$13, 100%, $E$13)</f>
        <v>16.6722</v>
      </c>
      <c r="D980" s="67">
        <f>16.676 * CHOOSE(CONTROL!$C$22, $C$13, 100%, $E$13)</f>
        <v>16.675999999999998</v>
      </c>
      <c r="E980" s="68">
        <f>19.0217 * CHOOSE(CONTROL!$C$22, $C$13, 100%, $E$13)</f>
        <v>19.021699999999999</v>
      </c>
      <c r="F980" s="68">
        <f>19.0217 * CHOOSE(CONTROL!$C$22, $C$13, 100%, $E$13)</f>
        <v>19.021699999999999</v>
      </c>
      <c r="G980" s="68">
        <f>19.0264 * CHOOSE(CONTROL!$C$22, $C$13, 100%, $E$13)</f>
        <v>19.026399999999999</v>
      </c>
      <c r="H980" s="68">
        <f>29.4645* CHOOSE(CONTROL!$C$22, $C$13, 100%, $E$13)</f>
        <v>29.464500000000001</v>
      </c>
      <c r="I980" s="68">
        <f>29.4693 * CHOOSE(CONTROL!$C$22, $C$13, 100%, $E$13)</f>
        <v>29.4693</v>
      </c>
      <c r="J980" s="68">
        <f>19.0217 * CHOOSE(CONTROL!$C$22, $C$13, 100%, $E$13)</f>
        <v>19.021699999999999</v>
      </c>
      <c r="K980" s="68">
        <f>19.0264 * CHOOSE(CONTROL!$C$22, $C$13, 100%, $E$13)</f>
        <v>19.026399999999999</v>
      </c>
    </row>
    <row r="981" spans="1:11" ht="15">
      <c r="A981" s="13">
        <v>70980</v>
      </c>
      <c r="B981" s="67">
        <f>16.6722 * CHOOSE(CONTROL!$C$22, $C$13, 100%, $E$13)</f>
        <v>16.6722</v>
      </c>
      <c r="C981" s="67">
        <f>16.6722 * CHOOSE(CONTROL!$C$22, $C$13, 100%, $E$13)</f>
        <v>16.6722</v>
      </c>
      <c r="D981" s="67">
        <f>16.6777 * CHOOSE(CONTROL!$C$22, $C$13, 100%, $E$13)</f>
        <v>16.677700000000002</v>
      </c>
      <c r="E981" s="68">
        <f>19.1293 * CHOOSE(CONTROL!$C$22, $C$13, 100%, $E$13)</f>
        <v>19.129300000000001</v>
      </c>
      <c r="F981" s="68">
        <f>19.1293 * CHOOSE(CONTROL!$C$22, $C$13, 100%, $E$13)</f>
        <v>19.129300000000001</v>
      </c>
      <c r="G981" s="68">
        <f>19.136 * CHOOSE(CONTROL!$C$22, $C$13, 100%, $E$13)</f>
        <v>19.135999999999999</v>
      </c>
      <c r="H981" s="68">
        <f>29.5259* CHOOSE(CONTROL!$C$22, $C$13, 100%, $E$13)</f>
        <v>29.5259</v>
      </c>
      <c r="I981" s="68">
        <f>29.5326 * CHOOSE(CONTROL!$C$22, $C$13, 100%, $E$13)</f>
        <v>29.532599999999999</v>
      </c>
      <c r="J981" s="68">
        <f>19.1293 * CHOOSE(CONTROL!$C$22, $C$13, 100%, $E$13)</f>
        <v>19.129300000000001</v>
      </c>
      <c r="K981" s="68">
        <f>19.136 * CHOOSE(CONTROL!$C$22, $C$13, 100%, $E$13)</f>
        <v>19.135999999999999</v>
      </c>
    </row>
    <row r="982" spans="1:11" ht="15">
      <c r="A982" s="13">
        <v>71011</v>
      </c>
      <c r="B982" s="67">
        <f>16.6782 * CHOOSE(CONTROL!$C$22, $C$13, 100%, $E$13)</f>
        <v>16.6782</v>
      </c>
      <c r="C982" s="67">
        <f>16.6782 * CHOOSE(CONTROL!$C$22, $C$13, 100%, $E$13)</f>
        <v>16.6782</v>
      </c>
      <c r="D982" s="67">
        <f>16.6838 * CHOOSE(CONTROL!$C$22, $C$13, 100%, $E$13)</f>
        <v>16.683800000000002</v>
      </c>
      <c r="E982" s="68">
        <f>19.0259 * CHOOSE(CONTROL!$C$22, $C$13, 100%, $E$13)</f>
        <v>19.0259</v>
      </c>
      <c r="F982" s="68">
        <f>19.0259 * CHOOSE(CONTROL!$C$22, $C$13, 100%, $E$13)</f>
        <v>19.0259</v>
      </c>
      <c r="G982" s="68">
        <f>19.0326 * CHOOSE(CONTROL!$C$22, $C$13, 100%, $E$13)</f>
        <v>19.032599999999999</v>
      </c>
      <c r="H982" s="68">
        <f>29.5874* CHOOSE(CONTROL!$C$22, $C$13, 100%, $E$13)</f>
        <v>29.587399999999999</v>
      </c>
      <c r="I982" s="68">
        <f>29.5941 * CHOOSE(CONTROL!$C$22, $C$13, 100%, $E$13)</f>
        <v>29.594100000000001</v>
      </c>
      <c r="J982" s="68">
        <f>19.0259 * CHOOSE(CONTROL!$C$22, $C$13, 100%, $E$13)</f>
        <v>19.0259</v>
      </c>
      <c r="K982" s="68">
        <f>19.0326 * CHOOSE(CONTROL!$C$22, $C$13, 100%, $E$13)</f>
        <v>19.032599999999999</v>
      </c>
    </row>
    <row r="983" spans="1:11" ht="15">
      <c r="A983" s="13">
        <v>71041</v>
      </c>
      <c r="B983" s="67">
        <f>16.9294 * CHOOSE(CONTROL!$C$22, $C$13, 100%, $E$13)</f>
        <v>16.929400000000001</v>
      </c>
      <c r="C983" s="67">
        <f>16.9294 * CHOOSE(CONTROL!$C$22, $C$13, 100%, $E$13)</f>
        <v>16.929400000000001</v>
      </c>
      <c r="D983" s="67">
        <f>16.9349 * CHOOSE(CONTROL!$C$22, $C$13, 100%, $E$13)</f>
        <v>16.934899999999999</v>
      </c>
      <c r="E983" s="68">
        <f>19.3264 * CHOOSE(CONTROL!$C$22, $C$13, 100%, $E$13)</f>
        <v>19.3264</v>
      </c>
      <c r="F983" s="68">
        <f>19.3264 * CHOOSE(CONTROL!$C$22, $C$13, 100%, $E$13)</f>
        <v>19.3264</v>
      </c>
      <c r="G983" s="68">
        <f>19.3331 * CHOOSE(CONTROL!$C$22, $C$13, 100%, $E$13)</f>
        <v>19.333100000000002</v>
      </c>
      <c r="H983" s="68">
        <f>29.649* CHOOSE(CONTROL!$C$22, $C$13, 100%, $E$13)</f>
        <v>29.649000000000001</v>
      </c>
      <c r="I983" s="68">
        <f>29.6558 * CHOOSE(CONTROL!$C$22, $C$13, 100%, $E$13)</f>
        <v>29.655799999999999</v>
      </c>
      <c r="J983" s="68">
        <f>19.3264 * CHOOSE(CONTROL!$C$22, $C$13, 100%, $E$13)</f>
        <v>19.3264</v>
      </c>
      <c r="K983" s="68">
        <f>19.3331 * CHOOSE(CONTROL!$C$22, $C$13, 100%, $E$13)</f>
        <v>19.333100000000002</v>
      </c>
    </row>
    <row r="984" spans="1:11" ht="15">
      <c r="A984" s="13">
        <v>71072</v>
      </c>
      <c r="B984" s="67">
        <f>16.9361 * CHOOSE(CONTROL!$C$22, $C$13, 100%, $E$13)</f>
        <v>16.9361</v>
      </c>
      <c r="C984" s="67">
        <f>16.9361 * CHOOSE(CONTROL!$C$22, $C$13, 100%, $E$13)</f>
        <v>16.9361</v>
      </c>
      <c r="D984" s="67">
        <f>16.9416 * CHOOSE(CONTROL!$C$22, $C$13, 100%, $E$13)</f>
        <v>16.941600000000001</v>
      </c>
      <c r="E984" s="68">
        <f>19.0083 * CHOOSE(CONTROL!$C$22, $C$13, 100%, $E$13)</f>
        <v>19.008299999999998</v>
      </c>
      <c r="F984" s="68">
        <f>19.0083 * CHOOSE(CONTROL!$C$22, $C$13, 100%, $E$13)</f>
        <v>19.008299999999998</v>
      </c>
      <c r="G984" s="68">
        <f>19.015 * CHOOSE(CONTROL!$C$22, $C$13, 100%, $E$13)</f>
        <v>19.015000000000001</v>
      </c>
      <c r="H984" s="68">
        <f>29.7108* CHOOSE(CONTROL!$C$22, $C$13, 100%, $E$13)</f>
        <v>29.710799999999999</v>
      </c>
      <c r="I984" s="68">
        <f>29.7175 * CHOOSE(CONTROL!$C$22, $C$13, 100%, $E$13)</f>
        <v>29.717500000000001</v>
      </c>
      <c r="J984" s="68">
        <f>19.0083 * CHOOSE(CONTROL!$C$22, $C$13, 100%, $E$13)</f>
        <v>19.008299999999998</v>
      </c>
      <c r="K984" s="68">
        <f>19.015 * CHOOSE(CONTROL!$C$22, $C$13, 100%, $E$13)</f>
        <v>19.015000000000001</v>
      </c>
    </row>
    <row r="985" spans="1:11" ht="15">
      <c r="A985" s="13">
        <v>71103</v>
      </c>
      <c r="B985" s="67">
        <f>16.933 * CHOOSE(CONTROL!$C$22, $C$13, 100%, $E$13)</f>
        <v>16.933</v>
      </c>
      <c r="C985" s="67">
        <f>16.933 * CHOOSE(CONTROL!$C$22, $C$13, 100%, $E$13)</f>
        <v>16.933</v>
      </c>
      <c r="D985" s="67">
        <f>16.9385 * CHOOSE(CONTROL!$C$22, $C$13, 100%, $E$13)</f>
        <v>16.938500000000001</v>
      </c>
      <c r="E985" s="68">
        <f>18.9703 * CHOOSE(CONTROL!$C$22, $C$13, 100%, $E$13)</f>
        <v>18.970300000000002</v>
      </c>
      <c r="F985" s="68">
        <f>18.9703 * CHOOSE(CONTROL!$C$22, $C$13, 100%, $E$13)</f>
        <v>18.970300000000002</v>
      </c>
      <c r="G985" s="68">
        <f>18.977 * CHOOSE(CONTROL!$C$22, $C$13, 100%, $E$13)</f>
        <v>18.977</v>
      </c>
      <c r="H985" s="68">
        <f>29.7727* CHOOSE(CONTROL!$C$22, $C$13, 100%, $E$13)</f>
        <v>29.7727</v>
      </c>
      <c r="I985" s="68">
        <f>29.7794 * CHOOSE(CONTROL!$C$22, $C$13, 100%, $E$13)</f>
        <v>29.779399999999999</v>
      </c>
      <c r="J985" s="68">
        <f>18.9703 * CHOOSE(CONTROL!$C$22, $C$13, 100%, $E$13)</f>
        <v>18.970300000000002</v>
      </c>
      <c r="K985" s="68">
        <f>18.977 * CHOOSE(CONTROL!$C$22, $C$13, 100%, $E$13)</f>
        <v>18.977</v>
      </c>
    </row>
    <row r="986" spans="1:11" ht="15">
      <c r="A986" s="13">
        <v>71133</v>
      </c>
      <c r="B986" s="67">
        <f>16.9696 * CHOOSE(CONTROL!$C$22, $C$13, 100%, $E$13)</f>
        <v>16.9696</v>
      </c>
      <c r="C986" s="67">
        <f>16.9696 * CHOOSE(CONTROL!$C$22, $C$13, 100%, $E$13)</f>
        <v>16.9696</v>
      </c>
      <c r="D986" s="67">
        <f>16.9735 * CHOOSE(CONTROL!$C$22, $C$13, 100%, $E$13)</f>
        <v>16.973500000000001</v>
      </c>
      <c r="E986" s="68">
        <f>19.1003 * CHOOSE(CONTROL!$C$22, $C$13, 100%, $E$13)</f>
        <v>19.100300000000001</v>
      </c>
      <c r="F986" s="68">
        <f>19.1003 * CHOOSE(CONTROL!$C$22, $C$13, 100%, $E$13)</f>
        <v>19.100300000000001</v>
      </c>
      <c r="G986" s="68">
        <f>19.1051 * CHOOSE(CONTROL!$C$22, $C$13, 100%, $E$13)</f>
        <v>19.1051</v>
      </c>
      <c r="H986" s="68">
        <f>29.8347* CHOOSE(CONTROL!$C$22, $C$13, 100%, $E$13)</f>
        <v>29.834700000000002</v>
      </c>
      <c r="I986" s="68">
        <f>29.8395 * CHOOSE(CONTROL!$C$22, $C$13, 100%, $E$13)</f>
        <v>29.839500000000001</v>
      </c>
      <c r="J986" s="68">
        <f>19.1003 * CHOOSE(CONTROL!$C$22, $C$13, 100%, $E$13)</f>
        <v>19.100300000000001</v>
      </c>
      <c r="K986" s="68">
        <f>19.1051 * CHOOSE(CONTROL!$C$22, $C$13, 100%, $E$13)</f>
        <v>19.1051</v>
      </c>
    </row>
    <row r="987" spans="1:11" ht="15">
      <c r="A987" s="13">
        <v>71164</v>
      </c>
      <c r="B987" s="67">
        <f>16.9727 * CHOOSE(CONTROL!$C$22, $C$13, 100%, $E$13)</f>
        <v>16.9727</v>
      </c>
      <c r="C987" s="67">
        <f>16.9727 * CHOOSE(CONTROL!$C$22, $C$13, 100%, $E$13)</f>
        <v>16.9727</v>
      </c>
      <c r="D987" s="67">
        <f>16.9765 * CHOOSE(CONTROL!$C$22, $C$13, 100%, $E$13)</f>
        <v>16.976500000000001</v>
      </c>
      <c r="E987" s="68">
        <f>19.1742 * CHOOSE(CONTROL!$C$22, $C$13, 100%, $E$13)</f>
        <v>19.174199999999999</v>
      </c>
      <c r="F987" s="68">
        <f>19.1742 * CHOOSE(CONTROL!$C$22, $C$13, 100%, $E$13)</f>
        <v>19.174199999999999</v>
      </c>
      <c r="G987" s="68">
        <f>19.1789 * CHOOSE(CONTROL!$C$22, $C$13, 100%, $E$13)</f>
        <v>19.178899999999999</v>
      </c>
      <c r="H987" s="68">
        <f>29.8969* CHOOSE(CONTROL!$C$22, $C$13, 100%, $E$13)</f>
        <v>29.896899999999999</v>
      </c>
      <c r="I987" s="68">
        <f>29.9016 * CHOOSE(CONTROL!$C$22, $C$13, 100%, $E$13)</f>
        <v>29.901599999999998</v>
      </c>
      <c r="J987" s="68">
        <f>19.1742 * CHOOSE(CONTROL!$C$22, $C$13, 100%, $E$13)</f>
        <v>19.174199999999999</v>
      </c>
      <c r="K987" s="68">
        <f>19.1789 * CHOOSE(CONTROL!$C$22, $C$13, 100%, $E$13)</f>
        <v>19.178899999999999</v>
      </c>
    </row>
    <row r="988" spans="1:11" ht="15">
      <c r="A988" s="13">
        <v>71194</v>
      </c>
      <c r="B988" s="67">
        <f>16.9727 * CHOOSE(CONTROL!$C$22, $C$13, 100%, $E$13)</f>
        <v>16.9727</v>
      </c>
      <c r="C988" s="67">
        <f>16.9727 * CHOOSE(CONTROL!$C$22, $C$13, 100%, $E$13)</f>
        <v>16.9727</v>
      </c>
      <c r="D988" s="67">
        <f>16.9765 * CHOOSE(CONTROL!$C$22, $C$13, 100%, $E$13)</f>
        <v>16.976500000000001</v>
      </c>
      <c r="E988" s="68">
        <f>18.9948 * CHOOSE(CONTROL!$C$22, $C$13, 100%, $E$13)</f>
        <v>18.994800000000001</v>
      </c>
      <c r="F988" s="68">
        <f>18.9948 * CHOOSE(CONTROL!$C$22, $C$13, 100%, $E$13)</f>
        <v>18.994800000000001</v>
      </c>
      <c r="G988" s="68">
        <f>18.9996 * CHOOSE(CONTROL!$C$22, $C$13, 100%, $E$13)</f>
        <v>18.999600000000001</v>
      </c>
      <c r="H988" s="68">
        <f>29.9592* CHOOSE(CONTROL!$C$22, $C$13, 100%, $E$13)</f>
        <v>29.959199999999999</v>
      </c>
      <c r="I988" s="68">
        <f>29.9639 * CHOOSE(CONTROL!$C$22, $C$13, 100%, $E$13)</f>
        <v>29.963899999999999</v>
      </c>
      <c r="J988" s="68">
        <f>18.9948 * CHOOSE(CONTROL!$C$22, $C$13, 100%, $E$13)</f>
        <v>18.994800000000001</v>
      </c>
      <c r="K988" s="68">
        <f>18.9996 * CHOOSE(CONTROL!$C$22, $C$13, 100%, $E$13)</f>
        <v>18.999600000000001</v>
      </c>
    </row>
    <row r="989" spans="1:11" ht="15">
      <c r="A989" s="13">
        <v>71225</v>
      </c>
      <c r="B989" s="67">
        <f>16.9056 * CHOOSE(CONTROL!$C$22, $C$13, 100%, $E$13)</f>
        <v>16.9056</v>
      </c>
      <c r="C989" s="67">
        <f>16.9056 * CHOOSE(CONTROL!$C$22, $C$13, 100%, $E$13)</f>
        <v>16.9056</v>
      </c>
      <c r="D989" s="67">
        <f>16.9095 * CHOOSE(CONTROL!$C$22, $C$13, 100%, $E$13)</f>
        <v>16.909500000000001</v>
      </c>
      <c r="E989" s="68">
        <f>19.0697 * CHOOSE(CONTROL!$C$22, $C$13, 100%, $E$13)</f>
        <v>19.069700000000001</v>
      </c>
      <c r="F989" s="68">
        <f>19.0697 * CHOOSE(CONTROL!$C$22, $C$13, 100%, $E$13)</f>
        <v>19.069700000000001</v>
      </c>
      <c r="G989" s="68">
        <f>19.0744 * CHOOSE(CONTROL!$C$22, $C$13, 100%, $E$13)</f>
        <v>19.074400000000001</v>
      </c>
      <c r="H989" s="68">
        <f>29.6847* CHOOSE(CONTROL!$C$22, $C$13, 100%, $E$13)</f>
        <v>29.684699999999999</v>
      </c>
      <c r="I989" s="68">
        <f>29.6895 * CHOOSE(CONTROL!$C$22, $C$13, 100%, $E$13)</f>
        <v>29.689499999999999</v>
      </c>
      <c r="J989" s="68">
        <f>19.0697 * CHOOSE(CONTROL!$C$22, $C$13, 100%, $E$13)</f>
        <v>19.069700000000001</v>
      </c>
      <c r="K989" s="68">
        <f>19.0744 * CHOOSE(CONTROL!$C$22, $C$13, 100%, $E$13)</f>
        <v>19.074400000000001</v>
      </c>
    </row>
    <row r="990" spans="1:11" ht="15">
      <c r="A990" s="13">
        <v>71256</v>
      </c>
      <c r="B990" s="67">
        <f>16.9025 * CHOOSE(CONTROL!$C$22, $C$13, 100%, $E$13)</f>
        <v>16.9025</v>
      </c>
      <c r="C990" s="67">
        <f>16.9025 * CHOOSE(CONTROL!$C$22, $C$13, 100%, $E$13)</f>
        <v>16.9025</v>
      </c>
      <c r="D990" s="67">
        <f>16.9064 * CHOOSE(CONTROL!$C$22, $C$13, 100%, $E$13)</f>
        <v>16.906400000000001</v>
      </c>
      <c r="E990" s="68">
        <f>18.7237 * CHOOSE(CONTROL!$C$22, $C$13, 100%, $E$13)</f>
        <v>18.723700000000001</v>
      </c>
      <c r="F990" s="68">
        <f>18.7237 * CHOOSE(CONTROL!$C$22, $C$13, 100%, $E$13)</f>
        <v>18.723700000000001</v>
      </c>
      <c r="G990" s="68">
        <f>18.7284 * CHOOSE(CONTROL!$C$22, $C$13, 100%, $E$13)</f>
        <v>18.728400000000001</v>
      </c>
      <c r="H990" s="68">
        <f>29.7466* CHOOSE(CONTROL!$C$22, $C$13, 100%, $E$13)</f>
        <v>29.746600000000001</v>
      </c>
      <c r="I990" s="68">
        <f>29.7513 * CHOOSE(CONTROL!$C$22, $C$13, 100%, $E$13)</f>
        <v>29.751300000000001</v>
      </c>
      <c r="J990" s="68">
        <f>18.7237 * CHOOSE(CONTROL!$C$22, $C$13, 100%, $E$13)</f>
        <v>18.723700000000001</v>
      </c>
      <c r="K990" s="68">
        <f>18.7284 * CHOOSE(CONTROL!$C$22, $C$13, 100%, $E$13)</f>
        <v>18.728400000000001</v>
      </c>
    </row>
    <row r="991" spans="1:11" ht="15">
      <c r="A991" s="13">
        <v>71284</v>
      </c>
      <c r="B991" s="67">
        <f>16.8995 * CHOOSE(CONTROL!$C$22, $C$13, 100%, $E$13)</f>
        <v>16.8995</v>
      </c>
      <c r="C991" s="67">
        <f>16.8995 * CHOOSE(CONTROL!$C$22, $C$13, 100%, $E$13)</f>
        <v>16.8995</v>
      </c>
      <c r="D991" s="67">
        <f>16.9034 * CHOOSE(CONTROL!$C$22, $C$13, 100%, $E$13)</f>
        <v>16.903400000000001</v>
      </c>
      <c r="E991" s="68">
        <f>18.9926 * CHOOSE(CONTROL!$C$22, $C$13, 100%, $E$13)</f>
        <v>18.992599999999999</v>
      </c>
      <c r="F991" s="68">
        <f>18.9926 * CHOOSE(CONTROL!$C$22, $C$13, 100%, $E$13)</f>
        <v>18.992599999999999</v>
      </c>
      <c r="G991" s="68">
        <f>18.9974 * CHOOSE(CONTROL!$C$22, $C$13, 100%, $E$13)</f>
        <v>18.997399999999999</v>
      </c>
      <c r="H991" s="68">
        <f>29.8085* CHOOSE(CONTROL!$C$22, $C$13, 100%, $E$13)</f>
        <v>29.808499999999999</v>
      </c>
      <c r="I991" s="68">
        <f>29.8133 * CHOOSE(CONTROL!$C$22, $C$13, 100%, $E$13)</f>
        <v>29.813300000000002</v>
      </c>
      <c r="J991" s="68">
        <f>18.9926 * CHOOSE(CONTROL!$C$22, $C$13, 100%, $E$13)</f>
        <v>18.992599999999999</v>
      </c>
      <c r="K991" s="68">
        <f>18.9974 * CHOOSE(CONTROL!$C$22, $C$13, 100%, $E$13)</f>
        <v>18.997399999999999</v>
      </c>
    </row>
    <row r="992" spans="1:11" ht="15">
      <c r="A992" s="13">
        <v>71315</v>
      </c>
      <c r="B992" s="67">
        <f>16.9079 * CHOOSE(CONTROL!$C$22, $C$13, 100%, $E$13)</f>
        <v>16.907900000000001</v>
      </c>
      <c r="C992" s="67">
        <f>16.9079 * CHOOSE(CONTROL!$C$22, $C$13, 100%, $E$13)</f>
        <v>16.907900000000001</v>
      </c>
      <c r="D992" s="67">
        <f>16.9118 * CHOOSE(CONTROL!$C$22, $C$13, 100%, $E$13)</f>
        <v>16.911799999999999</v>
      </c>
      <c r="E992" s="68">
        <f>19.2795 * CHOOSE(CONTROL!$C$22, $C$13, 100%, $E$13)</f>
        <v>19.279499999999999</v>
      </c>
      <c r="F992" s="68">
        <f>19.2795 * CHOOSE(CONTROL!$C$22, $C$13, 100%, $E$13)</f>
        <v>19.279499999999999</v>
      </c>
      <c r="G992" s="68">
        <f>19.2843 * CHOOSE(CONTROL!$C$22, $C$13, 100%, $E$13)</f>
        <v>19.284300000000002</v>
      </c>
      <c r="H992" s="68">
        <f>29.8706* CHOOSE(CONTROL!$C$22, $C$13, 100%, $E$13)</f>
        <v>29.8706</v>
      </c>
      <c r="I992" s="68">
        <f>29.8754 * CHOOSE(CONTROL!$C$22, $C$13, 100%, $E$13)</f>
        <v>29.875399999999999</v>
      </c>
      <c r="J992" s="68">
        <f>19.2795 * CHOOSE(CONTROL!$C$22, $C$13, 100%, $E$13)</f>
        <v>19.279499999999999</v>
      </c>
      <c r="K992" s="68">
        <f>19.2843 * CHOOSE(CONTROL!$C$22, $C$13, 100%, $E$13)</f>
        <v>19.284300000000002</v>
      </c>
    </row>
    <row r="993" spans="1:11" ht="15">
      <c r="A993" s="13">
        <v>71345</v>
      </c>
      <c r="B993" s="67">
        <f>16.9079 * CHOOSE(CONTROL!$C$22, $C$13, 100%, $E$13)</f>
        <v>16.907900000000001</v>
      </c>
      <c r="C993" s="67">
        <f>16.9079 * CHOOSE(CONTROL!$C$22, $C$13, 100%, $E$13)</f>
        <v>16.907900000000001</v>
      </c>
      <c r="D993" s="67">
        <f>16.9134 * CHOOSE(CONTROL!$C$22, $C$13, 100%, $E$13)</f>
        <v>16.913399999999999</v>
      </c>
      <c r="E993" s="68">
        <f>19.3887 * CHOOSE(CONTROL!$C$22, $C$13, 100%, $E$13)</f>
        <v>19.3887</v>
      </c>
      <c r="F993" s="68">
        <f>19.3887 * CHOOSE(CONTROL!$C$22, $C$13, 100%, $E$13)</f>
        <v>19.3887</v>
      </c>
      <c r="G993" s="68">
        <f>19.3954 * CHOOSE(CONTROL!$C$22, $C$13, 100%, $E$13)</f>
        <v>19.395399999999999</v>
      </c>
      <c r="H993" s="68">
        <f>29.9329* CHOOSE(CONTROL!$C$22, $C$13, 100%, $E$13)</f>
        <v>29.9329</v>
      </c>
      <c r="I993" s="68">
        <f>29.9396 * CHOOSE(CONTROL!$C$22, $C$13, 100%, $E$13)</f>
        <v>29.939599999999999</v>
      </c>
      <c r="J993" s="68">
        <f>19.3887 * CHOOSE(CONTROL!$C$22, $C$13, 100%, $E$13)</f>
        <v>19.3887</v>
      </c>
      <c r="K993" s="68">
        <f>19.3954 * CHOOSE(CONTROL!$C$22, $C$13, 100%, $E$13)</f>
        <v>19.395399999999999</v>
      </c>
    </row>
    <row r="994" spans="1:11" ht="15">
      <c r="A994" s="13">
        <v>71376</v>
      </c>
      <c r="B994" s="67">
        <f>16.914 * CHOOSE(CONTROL!$C$22, $C$13, 100%, $E$13)</f>
        <v>16.914000000000001</v>
      </c>
      <c r="C994" s="67">
        <f>16.914 * CHOOSE(CONTROL!$C$22, $C$13, 100%, $E$13)</f>
        <v>16.914000000000001</v>
      </c>
      <c r="D994" s="67">
        <f>16.9195 * CHOOSE(CONTROL!$C$22, $C$13, 100%, $E$13)</f>
        <v>16.919499999999999</v>
      </c>
      <c r="E994" s="68">
        <f>19.2838 * CHOOSE(CONTROL!$C$22, $C$13, 100%, $E$13)</f>
        <v>19.283799999999999</v>
      </c>
      <c r="F994" s="68">
        <f>19.2838 * CHOOSE(CONTROL!$C$22, $C$13, 100%, $E$13)</f>
        <v>19.283799999999999</v>
      </c>
      <c r="G994" s="68">
        <f>19.2905 * CHOOSE(CONTROL!$C$22, $C$13, 100%, $E$13)</f>
        <v>19.290500000000002</v>
      </c>
      <c r="H994" s="68">
        <f>29.9952* CHOOSE(CONTROL!$C$22, $C$13, 100%, $E$13)</f>
        <v>29.995200000000001</v>
      </c>
      <c r="I994" s="68">
        <f>30.002 * CHOOSE(CONTROL!$C$22, $C$13, 100%, $E$13)</f>
        <v>30.001999999999999</v>
      </c>
      <c r="J994" s="68">
        <f>19.2838 * CHOOSE(CONTROL!$C$22, $C$13, 100%, $E$13)</f>
        <v>19.283799999999999</v>
      </c>
      <c r="K994" s="68">
        <f>19.2905 * CHOOSE(CONTROL!$C$22, $C$13, 100%, $E$13)</f>
        <v>19.290500000000002</v>
      </c>
    </row>
    <row r="995" spans="1:11" ht="15">
      <c r="A995" s="13">
        <v>71406</v>
      </c>
      <c r="B995" s="67">
        <f>17.1686 * CHOOSE(CONTROL!$C$22, $C$13, 100%, $E$13)</f>
        <v>17.168600000000001</v>
      </c>
      <c r="C995" s="67">
        <f>17.1686 * CHOOSE(CONTROL!$C$22, $C$13, 100%, $E$13)</f>
        <v>17.168600000000001</v>
      </c>
      <c r="D995" s="67">
        <f>17.1741 * CHOOSE(CONTROL!$C$22, $C$13, 100%, $E$13)</f>
        <v>17.174099999999999</v>
      </c>
      <c r="E995" s="68">
        <f>19.5882 * CHOOSE(CONTROL!$C$22, $C$13, 100%, $E$13)</f>
        <v>19.588200000000001</v>
      </c>
      <c r="F995" s="68">
        <f>19.5882 * CHOOSE(CONTROL!$C$22, $C$13, 100%, $E$13)</f>
        <v>19.588200000000001</v>
      </c>
      <c r="G995" s="68">
        <f>19.5949 * CHOOSE(CONTROL!$C$22, $C$13, 100%, $E$13)</f>
        <v>19.594899999999999</v>
      </c>
      <c r="H995" s="68">
        <f>30.0577* CHOOSE(CONTROL!$C$22, $C$13, 100%, $E$13)</f>
        <v>30.057700000000001</v>
      </c>
      <c r="I995" s="68">
        <f>30.0645 * CHOOSE(CONTROL!$C$22, $C$13, 100%, $E$13)</f>
        <v>30.064499999999999</v>
      </c>
      <c r="J995" s="68">
        <f>19.5882 * CHOOSE(CONTROL!$C$22, $C$13, 100%, $E$13)</f>
        <v>19.588200000000001</v>
      </c>
      <c r="K995" s="68">
        <f>19.5949 * CHOOSE(CONTROL!$C$22, $C$13, 100%, $E$13)</f>
        <v>19.594899999999999</v>
      </c>
    </row>
    <row r="996" spans="1:11" ht="15">
      <c r="A996" s="13">
        <v>71437</v>
      </c>
      <c r="B996" s="67">
        <f>17.1753 * CHOOSE(CONTROL!$C$22, $C$13, 100%, $E$13)</f>
        <v>17.1753</v>
      </c>
      <c r="C996" s="67">
        <f>17.1753 * CHOOSE(CONTROL!$C$22, $C$13, 100%, $E$13)</f>
        <v>17.1753</v>
      </c>
      <c r="D996" s="67">
        <f>17.1808 * CHOOSE(CONTROL!$C$22, $C$13, 100%, $E$13)</f>
        <v>17.180800000000001</v>
      </c>
      <c r="E996" s="68">
        <f>19.2653 * CHOOSE(CONTROL!$C$22, $C$13, 100%, $E$13)</f>
        <v>19.2653</v>
      </c>
      <c r="F996" s="68">
        <f>19.2653 * CHOOSE(CONTROL!$C$22, $C$13, 100%, $E$13)</f>
        <v>19.2653</v>
      </c>
      <c r="G996" s="68">
        <f>19.2721 * CHOOSE(CONTROL!$C$22, $C$13, 100%, $E$13)</f>
        <v>19.272099999999998</v>
      </c>
      <c r="H996" s="68">
        <f>30.1204* CHOOSE(CONTROL!$C$22, $C$13, 100%, $E$13)</f>
        <v>30.1204</v>
      </c>
      <c r="I996" s="68">
        <f>30.1271 * CHOOSE(CONTROL!$C$22, $C$13, 100%, $E$13)</f>
        <v>30.127099999999999</v>
      </c>
      <c r="J996" s="68">
        <f>19.2653 * CHOOSE(CONTROL!$C$22, $C$13, 100%, $E$13)</f>
        <v>19.2653</v>
      </c>
      <c r="K996" s="68">
        <f>19.2721 * CHOOSE(CONTROL!$C$22, $C$13, 100%, $E$13)</f>
        <v>19.272099999999998</v>
      </c>
    </row>
    <row r="997" spans="1:11" ht="15">
      <c r="A997" s="13">
        <v>71468</v>
      </c>
      <c r="B997" s="67">
        <f>17.1722 * CHOOSE(CONTROL!$C$22, $C$13, 100%, $E$13)</f>
        <v>17.1722</v>
      </c>
      <c r="C997" s="67">
        <f>17.1722 * CHOOSE(CONTROL!$C$22, $C$13, 100%, $E$13)</f>
        <v>17.1722</v>
      </c>
      <c r="D997" s="67">
        <f>17.1777 * CHOOSE(CONTROL!$C$22, $C$13, 100%, $E$13)</f>
        <v>17.177700000000002</v>
      </c>
      <c r="E997" s="68">
        <f>19.2268 * CHOOSE(CONTROL!$C$22, $C$13, 100%, $E$13)</f>
        <v>19.226800000000001</v>
      </c>
      <c r="F997" s="68">
        <f>19.2268 * CHOOSE(CONTROL!$C$22, $C$13, 100%, $E$13)</f>
        <v>19.226800000000001</v>
      </c>
      <c r="G997" s="68">
        <f>19.2335 * CHOOSE(CONTROL!$C$22, $C$13, 100%, $E$13)</f>
        <v>19.233499999999999</v>
      </c>
      <c r="H997" s="68">
        <f>30.1831* CHOOSE(CONTROL!$C$22, $C$13, 100%, $E$13)</f>
        <v>30.1831</v>
      </c>
      <c r="I997" s="68">
        <f>30.1898 * CHOOSE(CONTROL!$C$22, $C$13, 100%, $E$13)</f>
        <v>30.189800000000002</v>
      </c>
      <c r="J997" s="68">
        <f>19.2268 * CHOOSE(CONTROL!$C$22, $C$13, 100%, $E$13)</f>
        <v>19.226800000000001</v>
      </c>
      <c r="K997" s="68">
        <f>19.2335 * CHOOSE(CONTROL!$C$22, $C$13, 100%, $E$13)</f>
        <v>19.233499999999999</v>
      </c>
    </row>
    <row r="998" spans="1:11" ht="15">
      <c r="A998" s="13">
        <v>71498</v>
      </c>
      <c r="B998" s="67">
        <f>17.2096 * CHOOSE(CONTROL!$C$22, $C$13, 100%, $E$13)</f>
        <v>17.209599999999998</v>
      </c>
      <c r="C998" s="67">
        <f>17.2096 * CHOOSE(CONTROL!$C$22, $C$13, 100%, $E$13)</f>
        <v>17.209599999999998</v>
      </c>
      <c r="D998" s="67">
        <f>17.2134 * CHOOSE(CONTROL!$C$22, $C$13, 100%, $E$13)</f>
        <v>17.2134</v>
      </c>
      <c r="E998" s="68">
        <f>19.359 * CHOOSE(CONTROL!$C$22, $C$13, 100%, $E$13)</f>
        <v>19.359000000000002</v>
      </c>
      <c r="F998" s="68">
        <f>19.359 * CHOOSE(CONTROL!$C$22, $C$13, 100%, $E$13)</f>
        <v>19.359000000000002</v>
      </c>
      <c r="G998" s="68">
        <f>19.3637 * CHOOSE(CONTROL!$C$22, $C$13, 100%, $E$13)</f>
        <v>19.363700000000001</v>
      </c>
      <c r="H998" s="68">
        <f>30.246* CHOOSE(CONTROL!$C$22, $C$13, 100%, $E$13)</f>
        <v>30.245999999999999</v>
      </c>
      <c r="I998" s="68">
        <f>30.2508 * CHOOSE(CONTROL!$C$22, $C$13, 100%, $E$13)</f>
        <v>30.250800000000002</v>
      </c>
      <c r="J998" s="68">
        <f>19.359 * CHOOSE(CONTROL!$C$22, $C$13, 100%, $E$13)</f>
        <v>19.359000000000002</v>
      </c>
      <c r="K998" s="68">
        <f>19.3637 * CHOOSE(CONTROL!$C$22, $C$13, 100%, $E$13)</f>
        <v>19.363700000000001</v>
      </c>
    </row>
    <row r="999" spans="1:11" ht="15">
      <c r="A999" s="13">
        <v>71529</v>
      </c>
      <c r="B999" s="67">
        <f>17.2126 * CHOOSE(CONTROL!$C$22, $C$13, 100%, $E$13)</f>
        <v>17.212599999999998</v>
      </c>
      <c r="C999" s="67">
        <f>17.2126 * CHOOSE(CONTROL!$C$22, $C$13, 100%, $E$13)</f>
        <v>17.212599999999998</v>
      </c>
      <c r="D999" s="67">
        <f>17.2165 * CHOOSE(CONTROL!$C$22, $C$13, 100%, $E$13)</f>
        <v>17.2165</v>
      </c>
      <c r="E999" s="68">
        <f>19.4339 * CHOOSE(CONTROL!$C$22, $C$13, 100%, $E$13)</f>
        <v>19.433900000000001</v>
      </c>
      <c r="F999" s="68">
        <f>19.4339 * CHOOSE(CONTROL!$C$22, $C$13, 100%, $E$13)</f>
        <v>19.433900000000001</v>
      </c>
      <c r="G999" s="68">
        <f>19.4386 * CHOOSE(CONTROL!$C$22, $C$13, 100%, $E$13)</f>
        <v>19.438600000000001</v>
      </c>
      <c r="H999" s="68">
        <f>30.309* CHOOSE(CONTROL!$C$22, $C$13, 100%, $E$13)</f>
        <v>30.309000000000001</v>
      </c>
      <c r="I999" s="68">
        <f>30.3138 * CHOOSE(CONTROL!$C$22, $C$13, 100%, $E$13)</f>
        <v>30.313800000000001</v>
      </c>
      <c r="J999" s="68">
        <f>19.4339 * CHOOSE(CONTROL!$C$22, $C$13, 100%, $E$13)</f>
        <v>19.433900000000001</v>
      </c>
      <c r="K999" s="68">
        <f>19.4386 * CHOOSE(CONTROL!$C$22, $C$13, 100%, $E$13)</f>
        <v>19.438600000000001</v>
      </c>
    </row>
    <row r="1000" spans="1:11" ht="15">
      <c r="A1000" s="13">
        <v>71559</v>
      </c>
      <c r="B1000" s="67">
        <f>17.2126 * CHOOSE(CONTROL!$C$22, $C$13, 100%, $E$13)</f>
        <v>17.212599999999998</v>
      </c>
      <c r="C1000" s="67">
        <f>17.2126 * CHOOSE(CONTROL!$C$22, $C$13, 100%, $E$13)</f>
        <v>17.212599999999998</v>
      </c>
      <c r="D1000" s="67">
        <f>17.2165 * CHOOSE(CONTROL!$C$22, $C$13, 100%, $E$13)</f>
        <v>17.2165</v>
      </c>
      <c r="E1000" s="68">
        <f>19.2519 * CHOOSE(CONTROL!$C$22, $C$13, 100%, $E$13)</f>
        <v>19.251899999999999</v>
      </c>
      <c r="F1000" s="68">
        <f>19.2519 * CHOOSE(CONTROL!$C$22, $C$13, 100%, $E$13)</f>
        <v>19.251899999999999</v>
      </c>
      <c r="G1000" s="68">
        <f>19.2567 * CHOOSE(CONTROL!$C$22, $C$13, 100%, $E$13)</f>
        <v>19.256699999999999</v>
      </c>
      <c r="H1000" s="68">
        <f>30.3721* CHOOSE(CONTROL!$C$22, $C$13, 100%, $E$13)</f>
        <v>30.3721</v>
      </c>
      <c r="I1000" s="68">
        <f>30.3769 * CHOOSE(CONTROL!$C$22, $C$13, 100%, $E$13)</f>
        <v>30.376899999999999</v>
      </c>
      <c r="J1000" s="68">
        <f>19.2519 * CHOOSE(CONTROL!$C$22, $C$13, 100%, $E$13)</f>
        <v>19.251899999999999</v>
      </c>
      <c r="K1000" s="68">
        <f>19.2567 * CHOOSE(CONTROL!$C$22, $C$13, 100%, $E$13)</f>
        <v>19.256699999999999</v>
      </c>
    </row>
    <row r="1001" spans="1:11" ht="15">
      <c r="A1001" s="13">
        <v>71590</v>
      </c>
      <c r="B1001" s="67">
        <f>17.1412 * CHOOSE(CONTROL!$C$22, $C$13, 100%, $E$13)</f>
        <v>17.141200000000001</v>
      </c>
      <c r="C1001" s="67">
        <f>17.1412 * CHOOSE(CONTROL!$C$22, $C$13, 100%, $E$13)</f>
        <v>17.141200000000001</v>
      </c>
      <c r="D1001" s="67">
        <f>17.145 * CHOOSE(CONTROL!$C$22, $C$13, 100%, $E$13)</f>
        <v>17.145</v>
      </c>
      <c r="E1001" s="68">
        <f>19.3244 * CHOOSE(CONTROL!$C$22, $C$13, 100%, $E$13)</f>
        <v>19.324400000000001</v>
      </c>
      <c r="F1001" s="68">
        <f>19.3244 * CHOOSE(CONTROL!$C$22, $C$13, 100%, $E$13)</f>
        <v>19.324400000000001</v>
      </c>
      <c r="G1001" s="68">
        <f>19.3291 * CHOOSE(CONTROL!$C$22, $C$13, 100%, $E$13)</f>
        <v>19.3291</v>
      </c>
      <c r="H1001" s="68">
        <f>30.0884* CHOOSE(CONTROL!$C$22, $C$13, 100%, $E$13)</f>
        <v>30.0884</v>
      </c>
      <c r="I1001" s="68">
        <f>30.0931 * CHOOSE(CONTROL!$C$22, $C$13, 100%, $E$13)</f>
        <v>30.0931</v>
      </c>
      <c r="J1001" s="68">
        <f>19.3244 * CHOOSE(CONTROL!$C$22, $C$13, 100%, $E$13)</f>
        <v>19.324400000000001</v>
      </c>
      <c r="K1001" s="68">
        <f>19.3291 * CHOOSE(CONTROL!$C$22, $C$13, 100%, $E$13)</f>
        <v>19.3291</v>
      </c>
    </row>
    <row r="1002" spans="1:11" ht="15">
      <c r="A1002" s="13">
        <v>71621</v>
      </c>
      <c r="B1002" s="67">
        <f>17.1381 * CHOOSE(CONTROL!$C$22, $C$13, 100%, $E$13)</f>
        <v>17.138100000000001</v>
      </c>
      <c r="C1002" s="67">
        <f>17.1381 * CHOOSE(CONTROL!$C$22, $C$13, 100%, $E$13)</f>
        <v>17.138100000000001</v>
      </c>
      <c r="D1002" s="67">
        <f>17.142 * CHOOSE(CONTROL!$C$22, $C$13, 100%, $E$13)</f>
        <v>17.141999999999999</v>
      </c>
      <c r="E1002" s="68">
        <f>18.9735 * CHOOSE(CONTROL!$C$22, $C$13, 100%, $E$13)</f>
        <v>18.973500000000001</v>
      </c>
      <c r="F1002" s="68">
        <f>18.9735 * CHOOSE(CONTROL!$C$22, $C$13, 100%, $E$13)</f>
        <v>18.973500000000001</v>
      </c>
      <c r="G1002" s="68">
        <f>18.9782 * CHOOSE(CONTROL!$C$22, $C$13, 100%, $E$13)</f>
        <v>18.978200000000001</v>
      </c>
      <c r="H1002" s="68">
        <f>30.1511* CHOOSE(CONTROL!$C$22, $C$13, 100%, $E$13)</f>
        <v>30.1511</v>
      </c>
      <c r="I1002" s="68">
        <f>30.1558 * CHOOSE(CONTROL!$C$22, $C$13, 100%, $E$13)</f>
        <v>30.155799999999999</v>
      </c>
      <c r="J1002" s="68">
        <f>18.9735 * CHOOSE(CONTROL!$C$22, $C$13, 100%, $E$13)</f>
        <v>18.973500000000001</v>
      </c>
      <c r="K1002" s="68">
        <f>18.9782 * CHOOSE(CONTROL!$C$22, $C$13, 100%, $E$13)</f>
        <v>18.978200000000001</v>
      </c>
    </row>
    <row r="1003" spans="1:11" ht="15">
      <c r="A1003" s="13">
        <v>71650</v>
      </c>
      <c r="B1003" s="67">
        <f>17.1351 * CHOOSE(CONTROL!$C$22, $C$13, 100%, $E$13)</f>
        <v>17.135100000000001</v>
      </c>
      <c r="C1003" s="67">
        <f>17.1351 * CHOOSE(CONTROL!$C$22, $C$13, 100%, $E$13)</f>
        <v>17.135100000000001</v>
      </c>
      <c r="D1003" s="67">
        <f>17.1389 * CHOOSE(CONTROL!$C$22, $C$13, 100%, $E$13)</f>
        <v>17.1389</v>
      </c>
      <c r="E1003" s="68">
        <f>19.2463 * CHOOSE(CONTROL!$C$22, $C$13, 100%, $E$13)</f>
        <v>19.246300000000002</v>
      </c>
      <c r="F1003" s="68">
        <f>19.2463 * CHOOSE(CONTROL!$C$22, $C$13, 100%, $E$13)</f>
        <v>19.246300000000002</v>
      </c>
      <c r="G1003" s="68">
        <f>19.2511 * CHOOSE(CONTROL!$C$22, $C$13, 100%, $E$13)</f>
        <v>19.251100000000001</v>
      </c>
      <c r="H1003" s="68">
        <f>30.2139* CHOOSE(CONTROL!$C$22, $C$13, 100%, $E$13)</f>
        <v>30.213899999999999</v>
      </c>
      <c r="I1003" s="68">
        <f>30.2186 * CHOOSE(CONTROL!$C$22, $C$13, 100%, $E$13)</f>
        <v>30.218599999999999</v>
      </c>
      <c r="J1003" s="68">
        <f>19.2463 * CHOOSE(CONTROL!$C$22, $C$13, 100%, $E$13)</f>
        <v>19.246300000000002</v>
      </c>
      <c r="K1003" s="68">
        <f>19.2511 * CHOOSE(CONTROL!$C$22, $C$13, 100%, $E$13)</f>
        <v>19.251100000000001</v>
      </c>
    </row>
    <row r="1004" spans="1:11" ht="15">
      <c r="A1004" s="13">
        <v>71681</v>
      </c>
      <c r="B1004" s="67">
        <f>17.1437 * CHOOSE(CONTROL!$C$22, $C$13, 100%, $E$13)</f>
        <v>17.143699999999999</v>
      </c>
      <c r="C1004" s="67">
        <f>17.1437 * CHOOSE(CONTROL!$C$22, $C$13, 100%, $E$13)</f>
        <v>17.143699999999999</v>
      </c>
      <c r="D1004" s="67">
        <f>17.1476 * CHOOSE(CONTROL!$C$22, $C$13, 100%, $E$13)</f>
        <v>17.147600000000001</v>
      </c>
      <c r="E1004" s="68">
        <f>19.5374 * CHOOSE(CONTROL!$C$22, $C$13, 100%, $E$13)</f>
        <v>19.537400000000002</v>
      </c>
      <c r="F1004" s="68">
        <f>19.5374 * CHOOSE(CONTROL!$C$22, $C$13, 100%, $E$13)</f>
        <v>19.537400000000002</v>
      </c>
      <c r="G1004" s="68">
        <f>19.5422 * CHOOSE(CONTROL!$C$22, $C$13, 100%, $E$13)</f>
        <v>19.542200000000001</v>
      </c>
      <c r="H1004" s="68">
        <f>30.2768* CHOOSE(CONTROL!$C$22, $C$13, 100%, $E$13)</f>
        <v>30.276800000000001</v>
      </c>
      <c r="I1004" s="68">
        <f>30.2816 * CHOOSE(CONTROL!$C$22, $C$13, 100%, $E$13)</f>
        <v>30.281600000000001</v>
      </c>
      <c r="J1004" s="68">
        <f>19.5374 * CHOOSE(CONTROL!$C$22, $C$13, 100%, $E$13)</f>
        <v>19.537400000000002</v>
      </c>
      <c r="K1004" s="68">
        <f>19.5422 * CHOOSE(CONTROL!$C$22, $C$13, 100%, $E$13)</f>
        <v>19.542200000000001</v>
      </c>
    </row>
    <row r="1005" spans="1:11" ht="15">
      <c r="A1005" s="13">
        <v>71711</v>
      </c>
      <c r="B1005" s="67">
        <f>17.1437 * CHOOSE(CONTROL!$C$22, $C$13, 100%, $E$13)</f>
        <v>17.143699999999999</v>
      </c>
      <c r="C1005" s="67">
        <f>17.1437 * CHOOSE(CONTROL!$C$22, $C$13, 100%, $E$13)</f>
        <v>17.143699999999999</v>
      </c>
      <c r="D1005" s="67">
        <f>17.1492 * CHOOSE(CONTROL!$C$22, $C$13, 100%, $E$13)</f>
        <v>17.1492</v>
      </c>
      <c r="E1005" s="68">
        <f>19.6481 * CHOOSE(CONTROL!$C$22, $C$13, 100%, $E$13)</f>
        <v>19.648099999999999</v>
      </c>
      <c r="F1005" s="68">
        <f>19.6481 * CHOOSE(CONTROL!$C$22, $C$13, 100%, $E$13)</f>
        <v>19.648099999999999</v>
      </c>
      <c r="G1005" s="68">
        <f>19.6549 * CHOOSE(CONTROL!$C$22, $C$13, 100%, $E$13)</f>
        <v>19.654900000000001</v>
      </c>
      <c r="H1005" s="68">
        <f>30.3399* CHOOSE(CONTROL!$C$22, $C$13, 100%, $E$13)</f>
        <v>30.3399</v>
      </c>
      <c r="I1005" s="68">
        <f>30.3466 * CHOOSE(CONTROL!$C$22, $C$13, 100%, $E$13)</f>
        <v>30.346599999999999</v>
      </c>
      <c r="J1005" s="68">
        <f>19.6481 * CHOOSE(CONTROL!$C$22, $C$13, 100%, $E$13)</f>
        <v>19.648099999999999</v>
      </c>
      <c r="K1005" s="68">
        <f>19.6549 * CHOOSE(CONTROL!$C$22, $C$13, 100%, $E$13)</f>
        <v>19.654900000000001</v>
      </c>
    </row>
    <row r="1006" spans="1:11" ht="15">
      <c r="A1006" s="13">
        <v>71742</v>
      </c>
      <c r="B1006" s="67">
        <f>17.1498 * CHOOSE(CONTROL!$C$22, $C$13, 100%, $E$13)</f>
        <v>17.149799999999999</v>
      </c>
      <c r="C1006" s="67">
        <f>17.1498 * CHOOSE(CONTROL!$C$22, $C$13, 100%, $E$13)</f>
        <v>17.149799999999999</v>
      </c>
      <c r="D1006" s="67">
        <f>17.1553 * CHOOSE(CONTROL!$C$22, $C$13, 100%, $E$13)</f>
        <v>17.1553</v>
      </c>
      <c r="E1006" s="68">
        <f>19.5416 * CHOOSE(CONTROL!$C$22, $C$13, 100%, $E$13)</f>
        <v>19.541599999999999</v>
      </c>
      <c r="F1006" s="68">
        <f>19.5416 * CHOOSE(CONTROL!$C$22, $C$13, 100%, $E$13)</f>
        <v>19.541599999999999</v>
      </c>
      <c r="G1006" s="68">
        <f>19.5484 * CHOOSE(CONTROL!$C$22, $C$13, 100%, $E$13)</f>
        <v>19.548400000000001</v>
      </c>
      <c r="H1006" s="68">
        <f>30.4031* CHOOSE(CONTROL!$C$22, $C$13, 100%, $E$13)</f>
        <v>30.403099999999998</v>
      </c>
      <c r="I1006" s="68">
        <f>30.4098 * CHOOSE(CONTROL!$C$22, $C$13, 100%, $E$13)</f>
        <v>30.409800000000001</v>
      </c>
      <c r="J1006" s="68">
        <f>19.5416 * CHOOSE(CONTROL!$C$22, $C$13, 100%, $E$13)</f>
        <v>19.541599999999999</v>
      </c>
      <c r="K1006" s="68">
        <f>19.5484 * CHOOSE(CONTROL!$C$22, $C$13, 100%, $E$13)</f>
        <v>19.548400000000001</v>
      </c>
    </row>
    <row r="1007" spans="1:11" ht="15">
      <c r="A1007" s="13">
        <v>71772</v>
      </c>
      <c r="B1007" s="67">
        <f>17.4078 * CHOOSE(CONTROL!$C$22, $C$13, 100%, $E$13)</f>
        <v>17.407800000000002</v>
      </c>
      <c r="C1007" s="67">
        <f>17.4078 * CHOOSE(CONTROL!$C$22, $C$13, 100%, $E$13)</f>
        <v>17.407800000000002</v>
      </c>
      <c r="D1007" s="67">
        <f>17.4133 * CHOOSE(CONTROL!$C$22, $C$13, 100%, $E$13)</f>
        <v>17.4133</v>
      </c>
      <c r="E1007" s="68">
        <f>19.8499 * CHOOSE(CONTROL!$C$22, $C$13, 100%, $E$13)</f>
        <v>19.849900000000002</v>
      </c>
      <c r="F1007" s="68">
        <f>19.8499 * CHOOSE(CONTROL!$C$22, $C$13, 100%, $E$13)</f>
        <v>19.849900000000002</v>
      </c>
      <c r="G1007" s="68">
        <f>19.8567 * CHOOSE(CONTROL!$C$22, $C$13, 100%, $E$13)</f>
        <v>19.8567</v>
      </c>
      <c r="H1007" s="68">
        <f>30.4664* CHOOSE(CONTROL!$C$22, $C$13, 100%, $E$13)</f>
        <v>30.4664</v>
      </c>
      <c r="I1007" s="68">
        <f>30.4732 * CHOOSE(CONTROL!$C$22, $C$13, 100%, $E$13)</f>
        <v>30.473199999999999</v>
      </c>
      <c r="J1007" s="68">
        <f>19.8499 * CHOOSE(CONTROL!$C$22, $C$13, 100%, $E$13)</f>
        <v>19.849900000000002</v>
      </c>
      <c r="K1007" s="68">
        <f>19.8567 * CHOOSE(CONTROL!$C$22, $C$13, 100%, $E$13)</f>
        <v>19.8567</v>
      </c>
    </row>
    <row r="1008" spans="1:11" ht="15">
      <c r="A1008" s="13">
        <v>71803</v>
      </c>
      <c r="B1008" s="67">
        <f>17.4144 * CHOOSE(CONTROL!$C$22, $C$13, 100%, $E$13)</f>
        <v>17.414400000000001</v>
      </c>
      <c r="C1008" s="67">
        <f>17.4144 * CHOOSE(CONTROL!$C$22, $C$13, 100%, $E$13)</f>
        <v>17.414400000000001</v>
      </c>
      <c r="D1008" s="67">
        <f>17.4199 * CHOOSE(CONTROL!$C$22, $C$13, 100%, $E$13)</f>
        <v>17.419899999999998</v>
      </c>
      <c r="E1008" s="68">
        <f>19.5224 * CHOOSE(CONTROL!$C$22, $C$13, 100%, $E$13)</f>
        <v>19.522400000000001</v>
      </c>
      <c r="F1008" s="68">
        <f>19.5224 * CHOOSE(CONTROL!$C$22, $C$13, 100%, $E$13)</f>
        <v>19.522400000000001</v>
      </c>
      <c r="G1008" s="68">
        <f>19.5291 * CHOOSE(CONTROL!$C$22, $C$13, 100%, $E$13)</f>
        <v>19.5291</v>
      </c>
      <c r="H1008" s="68">
        <f>30.5299* CHOOSE(CONTROL!$C$22, $C$13, 100%, $E$13)</f>
        <v>30.529900000000001</v>
      </c>
      <c r="I1008" s="68">
        <f>30.5366 * CHOOSE(CONTROL!$C$22, $C$13, 100%, $E$13)</f>
        <v>30.5366</v>
      </c>
      <c r="J1008" s="68">
        <f>19.5224 * CHOOSE(CONTROL!$C$22, $C$13, 100%, $E$13)</f>
        <v>19.522400000000001</v>
      </c>
      <c r="K1008" s="68">
        <f>19.5291 * CHOOSE(CONTROL!$C$22, $C$13, 100%, $E$13)</f>
        <v>19.5291</v>
      </c>
    </row>
    <row r="1009" spans="1:11" ht="15">
      <c r="A1009" s="13">
        <v>71834</v>
      </c>
      <c r="B1009" s="67">
        <f>17.4114 * CHOOSE(CONTROL!$C$22, $C$13, 100%, $E$13)</f>
        <v>17.4114</v>
      </c>
      <c r="C1009" s="67">
        <f>17.4114 * CHOOSE(CONTROL!$C$22, $C$13, 100%, $E$13)</f>
        <v>17.4114</v>
      </c>
      <c r="D1009" s="67">
        <f>17.4169 * CHOOSE(CONTROL!$C$22, $C$13, 100%, $E$13)</f>
        <v>17.416899999999998</v>
      </c>
      <c r="E1009" s="68">
        <f>19.4834 * CHOOSE(CONTROL!$C$22, $C$13, 100%, $E$13)</f>
        <v>19.4834</v>
      </c>
      <c r="F1009" s="68">
        <f>19.4834 * CHOOSE(CONTROL!$C$22, $C$13, 100%, $E$13)</f>
        <v>19.4834</v>
      </c>
      <c r="G1009" s="68">
        <f>19.4901 * CHOOSE(CONTROL!$C$22, $C$13, 100%, $E$13)</f>
        <v>19.490100000000002</v>
      </c>
      <c r="H1009" s="68">
        <f>30.5935* CHOOSE(CONTROL!$C$22, $C$13, 100%, $E$13)</f>
        <v>30.593499999999999</v>
      </c>
      <c r="I1009" s="68">
        <f>30.6002 * CHOOSE(CONTROL!$C$22, $C$13, 100%, $E$13)</f>
        <v>30.600200000000001</v>
      </c>
      <c r="J1009" s="68">
        <f>19.4834 * CHOOSE(CONTROL!$C$22, $C$13, 100%, $E$13)</f>
        <v>19.4834</v>
      </c>
      <c r="K1009" s="68">
        <f>19.4901 * CHOOSE(CONTROL!$C$22, $C$13, 100%, $E$13)</f>
        <v>19.490100000000002</v>
      </c>
    </row>
    <row r="1010" spans="1:11" ht="15">
      <c r="A1010" s="13">
        <v>71864</v>
      </c>
      <c r="B1010" s="67">
        <f>17.4495 * CHOOSE(CONTROL!$C$22, $C$13, 100%, $E$13)</f>
        <v>17.4495</v>
      </c>
      <c r="C1010" s="67">
        <f>17.4495 * CHOOSE(CONTROL!$C$22, $C$13, 100%, $E$13)</f>
        <v>17.4495</v>
      </c>
      <c r="D1010" s="67">
        <f>17.4534 * CHOOSE(CONTROL!$C$22, $C$13, 100%, $E$13)</f>
        <v>17.453399999999998</v>
      </c>
      <c r="E1010" s="68">
        <f>19.6176 * CHOOSE(CONTROL!$C$22, $C$13, 100%, $E$13)</f>
        <v>19.617599999999999</v>
      </c>
      <c r="F1010" s="68">
        <f>19.6176 * CHOOSE(CONTROL!$C$22, $C$13, 100%, $E$13)</f>
        <v>19.617599999999999</v>
      </c>
      <c r="G1010" s="68">
        <f>19.6224 * CHOOSE(CONTROL!$C$22, $C$13, 100%, $E$13)</f>
        <v>19.622399999999999</v>
      </c>
      <c r="H1010" s="68">
        <f>30.6572* CHOOSE(CONTROL!$C$22, $C$13, 100%, $E$13)</f>
        <v>30.6572</v>
      </c>
      <c r="I1010" s="68">
        <f>30.662 * CHOOSE(CONTROL!$C$22, $C$13, 100%, $E$13)</f>
        <v>30.661999999999999</v>
      </c>
      <c r="J1010" s="68">
        <f>19.6176 * CHOOSE(CONTROL!$C$22, $C$13, 100%, $E$13)</f>
        <v>19.617599999999999</v>
      </c>
      <c r="K1010" s="68">
        <f>19.6224 * CHOOSE(CONTROL!$C$22, $C$13, 100%, $E$13)</f>
        <v>19.622399999999999</v>
      </c>
    </row>
    <row r="1011" spans="1:11" ht="15">
      <c r="A1011" s="13">
        <v>71895</v>
      </c>
      <c r="B1011" s="67">
        <f>17.4526 * CHOOSE(CONTROL!$C$22, $C$13, 100%, $E$13)</f>
        <v>17.4526</v>
      </c>
      <c r="C1011" s="67">
        <f>17.4526 * CHOOSE(CONTROL!$C$22, $C$13, 100%, $E$13)</f>
        <v>17.4526</v>
      </c>
      <c r="D1011" s="67">
        <f>17.4564 * CHOOSE(CONTROL!$C$22, $C$13, 100%, $E$13)</f>
        <v>17.456399999999999</v>
      </c>
      <c r="E1011" s="68">
        <f>19.6935 * CHOOSE(CONTROL!$C$22, $C$13, 100%, $E$13)</f>
        <v>19.6935</v>
      </c>
      <c r="F1011" s="68">
        <f>19.6935 * CHOOSE(CONTROL!$C$22, $C$13, 100%, $E$13)</f>
        <v>19.6935</v>
      </c>
      <c r="G1011" s="68">
        <f>19.6983 * CHOOSE(CONTROL!$C$22, $C$13, 100%, $E$13)</f>
        <v>19.6983</v>
      </c>
      <c r="H1011" s="68">
        <f>30.7211* CHOOSE(CONTROL!$C$22, $C$13, 100%, $E$13)</f>
        <v>30.7211</v>
      </c>
      <c r="I1011" s="68">
        <f>30.7259 * CHOOSE(CONTROL!$C$22, $C$13, 100%, $E$13)</f>
        <v>30.725899999999999</v>
      </c>
      <c r="J1011" s="68">
        <f>19.6935 * CHOOSE(CONTROL!$C$22, $C$13, 100%, $E$13)</f>
        <v>19.6935</v>
      </c>
      <c r="K1011" s="68">
        <f>19.6983 * CHOOSE(CONTROL!$C$22, $C$13, 100%, $E$13)</f>
        <v>19.6983</v>
      </c>
    </row>
    <row r="1012" spans="1:11" ht="15">
      <c r="A1012" s="13">
        <v>71925</v>
      </c>
      <c r="B1012" s="67">
        <f>17.4526 * CHOOSE(CONTROL!$C$22, $C$13, 100%, $E$13)</f>
        <v>17.4526</v>
      </c>
      <c r="C1012" s="67">
        <f>17.4526 * CHOOSE(CONTROL!$C$22, $C$13, 100%, $E$13)</f>
        <v>17.4526</v>
      </c>
      <c r="D1012" s="67">
        <f>17.4564 * CHOOSE(CONTROL!$C$22, $C$13, 100%, $E$13)</f>
        <v>17.456399999999999</v>
      </c>
      <c r="E1012" s="68">
        <f>19.509 * CHOOSE(CONTROL!$C$22, $C$13, 100%, $E$13)</f>
        <v>19.509</v>
      </c>
      <c r="F1012" s="68">
        <f>19.509 * CHOOSE(CONTROL!$C$22, $C$13, 100%, $E$13)</f>
        <v>19.509</v>
      </c>
      <c r="G1012" s="68">
        <f>19.5137 * CHOOSE(CONTROL!$C$22, $C$13, 100%, $E$13)</f>
        <v>19.5137</v>
      </c>
      <c r="H1012" s="68">
        <f>30.7851* CHOOSE(CONTROL!$C$22, $C$13, 100%, $E$13)</f>
        <v>30.7851</v>
      </c>
      <c r="I1012" s="68">
        <f>30.7899 * CHOOSE(CONTROL!$C$22, $C$13, 100%, $E$13)</f>
        <v>30.789899999999999</v>
      </c>
      <c r="J1012" s="68">
        <f>19.509 * CHOOSE(CONTROL!$C$22, $C$13, 100%, $E$13)</f>
        <v>19.509</v>
      </c>
      <c r="K1012" s="68">
        <f>19.5137 * CHOOSE(CONTROL!$C$22, $C$13, 100%, $E$13)</f>
        <v>19.5137</v>
      </c>
    </row>
    <row r="1013" spans="1:11" ht="15">
      <c r="A1013" s="13">
        <v>71956</v>
      </c>
      <c r="B1013" s="67">
        <f>17.3767 * CHOOSE(CONTROL!$C$22, $C$13, 100%, $E$13)</f>
        <v>17.3767</v>
      </c>
      <c r="C1013" s="67">
        <f>17.3767 * CHOOSE(CONTROL!$C$22, $C$13, 100%, $E$13)</f>
        <v>17.3767</v>
      </c>
      <c r="D1013" s="67">
        <f>17.3806 * CHOOSE(CONTROL!$C$22, $C$13, 100%, $E$13)</f>
        <v>17.380600000000001</v>
      </c>
      <c r="E1013" s="68">
        <f>19.5791 * CHOOSE(CONTROL!$C$22, $C$13, 100%, $E$13)</f>
        <v>19.5791</v>
      </c>
      <c r="F1013" s="68">
        <f>19.5791 * CHOOSE(CONTROL!$C$22, $C$13, 100%, $E$13)</f>
        <v>19.5791</v>
      </c>
      <c r="G1013" s="68">
        <f>19.5839 * CHOOSE(CONTROL!$C$22, $C$13, 100%, $E$13)</f>
        <v>19.5839</v>
      </c>
      <c r="H1013" s="68">
        <f>30.492* CHOOSE(CONTROL!$C$22, $C$13, 100%, $E$13)</f>
        <v>30.492000000000001</v>
      </c>
      <c r="I1013" s="68">
        <f>30.4968 * CHOOSE(CONTROL!$C$22, $C$13, 100%, $E$13)</f>
        <v>30.4968</v>
      </c>
      <c r="J1013" s="68">
        <f>19.5791 * CHOOSE(CONTROL!$C$22, $C$13, 100%, $E$13)</f>
        <v>19.5791</v>
      </c>
      <c r="K1013" s="68">
        <f>19.5839 * CHOOSE(CONTROL!$C$22, $C$13, 100%, $E$13)</f>
        <v>19.5839</v>
      </c>
    </row>
    <row r="1014" spans="1:11" ht="15">
      <c r="A1014" s="13">
        <v>71987</v>
      </c>
      <c r="B1014" s="67">
        <f>17.3737 * CHOOSE(CONTROL!$C$22, $C$13, 100%, $E$13)</f>
        <v>17.373699999999999</v>
      </c>
      <c r="C1014" s="67">
        <f>17.3737 * CHOOSE(CONTROL!$C$22, $C$13, 100%, $E$13)</f>
        <v>17.373699999999999</v>
      </c>
      <c r="D1014" s="67">
        <f>17.3776 * CHOOSE(CONTROL!$C$22, $C$13, 100%, $E$13)</f>
        <v>17.377600000000001</v>
      </c>
      <c r="E1014" s="68">
        <f>19.2233 * CHOOSE(CONTROL!$C$22, $C$13, 100%, $E$13)</f>
        <v>19.223299999999998</v>
      </c>
      <c r="F1014" s="68">
        <f>19.2233 * CHOOSE(CONTROL!$C$22, $C$13, 100%, $E$13)</f>
        <v>19.223299999999998</v>
      </c>
      <c r="G1014" s="68">
        <f>19.228 * CHOOSE(CONTROL!$C$22, $C$13, 100%, $E$13)</f>
        <v>19.228000000000002</v>
      </c>
      <c r="H1014" s="68">
        <f>30.5555* CHOOSE(CONTROL!$C$22, $C$13, 100%, $E$13)</f>
        <v>30.555499999999999</v>
      </c>
      <c r="I1014" s="68">
        <f>30.5603 * CHOOSE(CONTROL!$C$22, $C$13, 100%, $E$13)</f>
        <v>30.560300000000002</v>
      </c>
      <c r="J1014" s="68">
        <f>19.2233 * CHOOSE(CONTROL!$C$22, $C$13, 100%, $E$13)</f>
        <v>19.223299999999998</v>
      </c>
      <c r="K1014" s="68">
        <f>19.228 * CHOOSE(CONTROL!$C$22, $C$13, 100%, $E$13)</f>
        <v>19.228000000000002</v>
      </c>
    </row>
    <row r="1015" spans="1:11" ht="15">
      <c r="A1015" s="13">
        <v>72015</v>
      </c>
      <c r="B1015" s="67">
        <f>17.3706 * CHOOSE(CONTROL!$C$22, $C$13, 100%, $E$13)</f>
        <v>17.3706</v>
      </c>
      <c r="C1015" s="67">
        <f>17.3706 * CHOOSE(CONTROL!$C$22, $C$13, 100%, $E$13)</f>
        <v>17.3706</v>
      </c>
      <c r="D1015" s="67">
        <f>17.3745 * CHOOSE(CONTROL!$C$22, $C$13, 100%, $E$13)</f>
        <v>17.374500000000001</v>
      </c>
      <c r="E1015" s="68">
        <f>19.5 * CHOOSE(CONTROL!$C$22, $C$13, 100%, $E$13)</f>
        <v>19.5</v>
      </c>
      <c r="F1015" s="68">
        <f>19.5 * CHOOSE(CONTROL!$C$22, $C$13, 100%, $E$13)</f>
        <v>19.5</v>
      </c>
      <c r="G1015" s="68">
        <f>19.5048 * CHOOSE(CONTROL!$C$22, $C$13, 100%, $E$13)</f>
        <v>19.504799999999999</v>
      </c>
      <c r="H1015" s="68">
        <f>30.6192* CHOOSE(CONTROL!$C$22, $C$13, 100%, $E$13)</f>
        <v>30.619199999999999</v>
      </c>
      <c r="I1015" s="68">
        <f>30.624 * CHOOSE(CONTROL!$C$22, $C$13, 100%, $E$13)</f>
        <v>30.623999999999999</v>
      </c>
      <c r="J1015" s="68">
        <f>19.5 * CHOOSE(CONTROL!$C$22, $C$13, 100%, $E$13)</f>
        <v>19.5</v>
      </c>
      <c r="K1015" s="68">
        <f>19.5048 * CHOOSE(CONTROL!$C$22, $C$13, 100%, $E$13)</f>
        <v>19.504799999999999</v>
      </c>
    </row>
    <row r="1016" spans="1:11" ht="15">
      <c r="A1016" s="13">
        <v>72046</v>
      </c>
      <c r="B1016" s="67">
        <f>17.3795 * CHOOSE(CONTROL!$C$22, $C$13, 100%, $E$13)</f>
        <v>17.3795</v>
      </c>
      <c r="C1016" s="67">
        <f>17.3795 * CHOOSE(CONTROL!$C$22, $C$13, 100%, $E$13)</f>
        <v>17.3795</v>
      </c>
      <c r="D1016" s="67">
        <f>17.3833 * CHOOSE(CONTROL!$C$22, $C$13, 100%, $E$13)</f>
        <v>17.383299999999998</v>
      </c>
      <c r="E1016" s="68">
        <f>19.7952 * CHOOSE(CONTROL!$C$22, $C$13, 100%, $E$13)</f>
        <v>19.795200000000001</v>
      </c>
      <c r="F1016" s="68">
        <f>19.7952 * CHOOSE(CONTROL!$C$22, $C$13, 100%, $E$13)</f>
        <v>19.795200000000001</v>
      </c>
      <c r="G1016" s="68">
        <f>19.8 * CHOOSE(CONTROL!$C$22, $C$13, 100%, $E$13)</f>
        <v>19.8</v>
      </c>
      <c r="H1016" s="68">
        <f>30.683* CHOOSE(CONTROL!$C$22, $C$13, 100%, $E$13)</f>
        <v>30.683</v>
      </c>
      <c r="I1016" s="68">
        <f>30.6877 * CHOOSE(CONTROL!$C$22, $C$13, 100%, $E$13)</f>
        <v>30.6877</v>
      </c>
      <c r="J1016" s="68">
        <f>19.7952 * CHOOSE(CONTROL!$C$22, $C$13, 100%, $E$13)</f>
        <v>19.795200000000001</v>
      </c>
      <c r="K1016" s="68">
        <f>19.8 * CHOOSE(CONTROL!$C$22, $C$13, 100%, $E$13)</f>
        <v>19.8</v>
      </c>
    </row>
    <row r="1017" spans="1:11" ht="15">
      <c r="A1017" s="13">
        <v>72076</v>
      </c>
      <c r="B1017" s="67">
        <f>17.3795 * CHOOSE(CONTROL!$C$22, $C$13, 100%, $E$13)</f>
        <v>17.3795</v>
      </c>
      <c r="C1017" s="67">
        <f>17.3795 * CHOOSE(CONTROL!$C$22, $C$13, 100%, $E$13)</f>
        <v>17.3795</v>
      </c>
      <c r="D1017" s="67">
        <f>17.385 * CHOOSE(CONTROL!$C$22, $C$13, 100%, $E$13)</f>
        <v>17.385000000000002</v>
      </c>
      <c r="E1017" s="68">
        <f>19.9075 * CHOOSE(CONTROL!$C$22, $C$13, 100%, $E$13)</f>
        <v>19.907499999999999</v>
      </c>
      <c r="F1017" s="68">
        <f>19.9075 * CHOOSE(CONTROL!$C$22, $C$13, 100%, $E$13)</f>
        <v>19.907499999999999</v>
      </c>
      <c r="G1017" s="68">
        <f>19.9143 * CHOOSE(CONTROL!$C$22, $C$13, 100%, $E$13)</f>
        <v>19.914300000000001</v>
      </c>
      <c r="H1017" s="68">
        <f>30.7469* CHOOSE(CONTROL!$C$22, $C$13, 100%, $E$13)</f>
        <v>30.7469</v>
      </c>
      <c r="I1017" s="68">
        <f>30.7536 * CHOOSE(CONTROL!$C$22, $C$13, 100%, $E$13)</f>
        <v>30.753599999999999</v>
      </c>
      <c r="J1017" s="68">
        <f>19.9075 * CHOOSE(CONTROL!$C$22, $C$13, 100%, $E$13)</f>
        <v>19.907499999999999</v>
      </c>
      <c r="K1017" s="68">
        <f>19.9143 * CHOOSE(CONTROL!$C$22, $C$13, 100%, $E$13)</f>
        <v>19.914300000000001</v>
      </c>
    </row>
    <row r="1018" spans="1:11" ht="15">
      <c r="A1018" s="13">
        <v>72107</v>
      </c>
      <c r="B1018" s="67">
        <f>17.3855 * CHOOSE(CONTROL!$C$22, $C$13, 100%, $E$13)</f>
        <v>17.3855</v>
      </c>
      <c r="C1018" s="67">
        <f>17.3855 * CHOOSE(CONTROL!$C$22, $C$13, 100%, $E$13)</f>
        <v>17.3855</v>
      </c>
      <c r="D1018" s="67">
        <f>17.3911 * CHOOSE(CONTROL!$C$22, $C$13, 100%, $E$13)</f>
        <v>17.391100000000002</v>
      </c>
      <c r="E1018" s="68">
        <f>19.7995 * CHOOSE(CONTROL!$C$22, $C$13, 100%, $E$13)</f>
        <v>19.799499999999998</v>
      </c>
      <c r="F1018" s="68">
        <f>19.7995 * CHOOSE(CONTROL!$C$22, $C$13, 100%, $E$13)</f>
        <v>19.799499999999998</v>
      </c>
      <c r="G1018" s="68">
        <f>19.8062 * CHOOSE(CONTROL!$C$22, $C$13, 100%, $E$13)</f>
        <v>19.8062</v>
      </c>
      <c r="H1018" s="68">
        <f>30.811* CHOOSE(CONTROL!$C$22, $C$13, 100%, $E$13)</f>
        <v>30.811</v>
      </c>
      <c r="I1018" s="68">
        <f>30.8177 * CHOOSE(CONTROL!$C$22, $C$13, 100%, $E$13)</f>
        <v>30.817699999999999</v>
      </c>
      <c r="J1018" s="68">
        <f>19.7995 * CHOOSE(CONTROL!$C$22, $C$13, 100%, $E$13)</f>
        <v>19.799499999999998</v>
      </c>
      <c r="K1018" s="68">
        <f>19.8062 * CHOOSE(CONTROL!$C$22, $C$13, 100%, $E$13)</f>
        <v>19.8062</v>
      </c>
    </row>
    <row r="1019" spans="1:11" ht="15">
      <c r="A1019" s="13">
        <v>72137</v>
      </c>
      <c r="B1019" s="67">
        <f>17.6469 * CHOOSE(CONTROL!$C$22, $C$13, 100%, $E$13)</f>
        <v>17.646899999999999</v>
      </c>
      <c r="C1019" s="67">
        <f>17.6469 * CHOOSE(CONTROL!$C$22, $C$13, 100%, $E$13)</f>
        <v>17.646899999999999</v>
      </c>
      <c r="D1019" s="67">
        <f>17.6524 * CHOOSE(CONTROL!$C$22, $C$13, 100%, $E$13)</f>
        <v>17.6524</v>
      </c>
      <c r="E1019" s="68">
        <f>20.1117 * CHOOSE(CONTROL!$C$22, $C$13, 100%, $E$13)</f>
        <v>20.111699999999999</v>
      </c>
      <c r="F1019" s="68">
        <f>20.1117 * CHOOSE(CONTROL!$C$22, $C$13, 100%, $E$13)</f>
        <v>20.111699999999999</v>
      </c>
      <c r="G1019" s="68">
        <f>20.1185 * CHOOSE(CONTROL!$C$22, $C$13, 100%, $E$13)</f>
        <v>20.118500000000001</v>
      </c>
      <c r="H1019" s="68">
        <f>30.8751* CHOOSE(CONTROL!$C$22, $C$13, 100%, $E$13)</f>
        <v>30.8751</v>
      </c>
      <c r="I1019" s="68">
        <f>30.8819 * CHOOSE(CONTROL!$C$22, $C$13, 100%, $E$13)</f>
        <v>30.881900000000002</v>
      </c>
      <c r="J1019" s="68">
        <f>20.1117 * CHOOSE(CONTROL!$C$22, $C$13, 100%, $E$13)</f>
        <v>20.111699999999999</v>
      </c>
      <c r="K1019" s="68">
        <f>20.1185 * CHOOSE(CONTROL!$C$22, $C$13, 100%, $E$13)</f>
        <v>20.118500000000001</v>
      </c>
    </row>
    <row r="1020" spans="1:11" ht="15">
      <c r="A1020" s="13">
        <v>72168</v>
      </c>
      <c r="B1020" s="67">
        <f>17.6536 * CHOOSE(CONTROL!$C$22, $C$13, 100%, $E$13)</f>
        <v>17.653600000000001</v>
      </c>
      <c r="C1020" s="67">
        <f>17.6536 * CHOOSE(CONTROL!$C$22, $C$13, 100%, $E$13)</f>
        <v>17.653600000000001</v>
      </c>
      <c r="D1020" s="67">
        <f>17.6591 * CHOOSE(CONTROL!$C$22, $C$13, 100%, $E$13)</f>
        <v>17.659099999999999</v>
      </c>
      <c r="E1020" s="68">
        <f>19.7795 * CHOOSE(CONTROL!$C$22, $C$13, 100%, $E$13)</f>
        <v>19.779499999999999</v>
      </c>
      <c r="F1020" s="68">
        <f>19.7795 * CHOOSE(CONTROL!$C$22, $C$13, 100%, $E$13)</f>
        <v>19.779499999999999</v>
      </c>
      <c r="G1020" s="68">
        <f>19.7862 * CHOOSE(CONTROL!$C$22, $C$13, 100%, $E$13)</f>
        <v>19.786200000000001</v>
      </c>
      <c r="H1020" s="68">
        <f>30.9395* CHOOSE(CONTROL!$C$22, $C$13, 100%, $E$13)</f>
        <v>30.939499999999999</v>
      </c>
      <c r="I1020" s="68">
        <f>30.9462 * CHOOSE(CONTROL!$C$22, $C$13, 100%, $E$13)</f>
        <v>30.946200000000001</v>
      </c>
      <c r="J1020" s="68">
        <f>19.7795 * CHOOSE(CONTROL!$C$22, $C$13, 100%, $E$13)</f>
        <v>19.779499999999999</v>
      </c>
      <c r="K1020" s="68">
        <f>19.7862 * CHOOSE(CONTROL!$C$22, $C$13, 100%, $E$13)</f>
        <v>19.786200000000001</v>
      </c>
    </row>
    <row r="1021" spans="1:11" ht="15">
      <c r="A1021" s="13">
        <v>72199</v>
      </c>
      <c r="B1021" s="67">
        <f>17.6506 * CHOOSE(CONTROL!$C$22, $C$13, 100%, $E$13)</f>
        <v>17.650600000000001</v>
      </c>
      <c r="C1021" s="67">
        <f>17.6506 * CHOOSE(CONTROL!$C$22, $C$13, 100%, $E$13)</f>
        <v>17.650600000000001</v>
      </c>
      <c r="D1021" s="67">
        <f>17.6561 * CHOOSE(CONTROL!$C$22, $C$13, 100%, $E$13)</f>
        <v>17.656099999999999</v>
      </c>
      <c r="E1021" s="68">
        <f>19.7399 * CHOOSE(CONTROL!$C$22, $C$13, 100%, $E$13)</f>
        <v>19.739899999999999</v>
      </c>
      <c r="F1021" s="68">
        <f>19.7399 * CHOOSE(CONTROL!$C$22, $C$13, 100%, $E$13)</f>
        <v>19.739899999999999</v>
      </c>
      <c r="G1021" s="68">
        <f>19.7466 * CHOOSE(CONTROL!$C$22, $C$13, 100%, $E$13)</f>
        <v>19.746600000000001</v>
      </c>
      <c r="H1021" s="68">
        <f>31.0039* CHOOSE(CONTROL!$C$22, $C$13, 100%, $E$13)</f>
        <v>31.003900000000002</v>
      </c>
      <c r="I1021" s="68">
        <f>31.0107 * CHOOSE(CONTROL!$C$22, $C$13, 100%, $E$13)</f>
        <v>31.0107</v>
      </c>
      <c r="J1021" s="68">
        <f>19.7399 * CHOOSE(CONTROL!$C$22, $C$13, 100%, $E$13)</f>
        <v>19.739899999999999</v>
      </c>
      <c r="K1021" s="68">
        <f>19.7466 * CHOOSE(CONTROL!$C$22, $C$13, 100%, $E$13)</f>
        <v>19.746600000000001</v>
      </c>
    </row>
    <row r="1022" spans="1:11" ht="15">
      <c r="A1022" s="13">
        <v>72229</v>
      </c>
      <c r="B1022" s="67">
        <f>17.6895 * CHOOSE(CONTROL!$C$22, $C$13, 100%, $E$13)</f>
        <v>17.689499999999999</v>
      </c>
      <c r="C1022" s="67">
        <f>17.6895 * CHOOSE(CONTROL!$C$22, $C$13, 100%, $E$13)</f>
        <v>17.689499999999999</v>
      </c>
      <c r="D1022" s="67">
        <f>17.6933 * CHOOSE(CONTROL!$C$22, $C$13, 100%, $E$13)</f>
        <v>17.693300000000001</v>
      </c>
      <c r="E1022" s="68">
        <f>19.8762 * CHOOSE(CONTROL!$C$22, $C$13, 100%, $E$13)</f>
        <v>19.876200000000001</v>
      </c>
      <c r="F1022" s="68">
        <f>19.8762 * CHOOSE(CONTROL!$C$22, $C$13, 100%, $E$13)</f>
        <v>19.876200000000001</v>
      </c>
      <c r="G1022" s="68">
        <f>19.881 * CHOOSE(CONTROL!$C$22, $C$13, 100%, $E$13)</f>
        <v>19.881</v>
      </c>
      <c r="H1022" s="68">
        <f>31.0685* CHOOSE(CONTROL!$C$22, $C$13, 100%, $E$13)</f>
        <v>31.0685</v>
      </c>
      <c r="I1022" s="68">
        <f>31.0733 * CHOOSE(CONTROL!$C$22, $C$13, 100%, $E$13)</f>
        <v>31.0733</v>
      </c>
      <c r="J1022" s="68">
        <f>19.8762 * CHOOSE(CONTROL!$C$22, $C$13, 100%, $E$13)</f>
        <v>19.876200000000001</v>
      </c>
      <c r="K1022" s="68">
        <f>19.881 * CHOOSE(CONTROL!$C$22, $C$13, 100%, $E$13)</f>
        <v>19.881</v>
      </c>
    </row>
    <row r="1023" spans="1:11" ht="15">
      <c r="A1023" s="13">
        <v>72260</v>
      </c>
      <c r="B1023" s="67">
        <f>17.6925 * CHOOSE(CONTROL!$C$22, $C$13, 100%, $E$13)</f>
        <v>17.692499999999999</v>
      </c>
      <c r="C1023" s="67">
        <f>17.6925 * CHOOSE(CONTROL!$C$22, $C$13, 100%, $E$13)</f>
        <v>17.692499999999999</v>
      </c>
      <c r="D1023" s="67">
        <f>17.6964 * CHOOSE(CONTROL!$C$22, $C$13, 100%, $E$13)</f>
        <v>17.696400000000001</v>
      </c>
      <c r="E1023" s="68">
        <f>19.9532 * CHOOSE(CONTROL!$C$22, $C$13, 100%, $E$13)</f>
        <v>19.953199999999999</v>
      </c>
      <c r="F1023" s="68">
        <f>19.9532 * CHOOSE(CONTROL!$C$22, $C$13, 100%, $E$13)</f>
        <v>19.953199999999999</v>
      </c>
      <c r="G1023" s="68">
        <f>19.958 * CHOOSE(CONTROL!$C$22, $C$13, 100%, $E$13)</f>
        <v>19.957999999999998</v>
      </c>
      <c r="H1023" s="68">
        <f>31.1332* CHOOSE(CONTROL!$C$22, $C$13, 100%, $E$13)</f>
        <v>31.133199999999999</v>
      </c>
      <c r="I1023" s="68">
        <f>31.138 * CHOOSE(CONTROL!$C$22, $C$13, 100%, $E$13)</f>
        <v>31.138000000000002</v>
      </c>
      <c r="J1023" s="68">
        <f>19.9532 * CHOOSE(CONTROL!$C$22, $C$13, 100%, $E$13)</f>
        <v>19.953199999999999</v>
      </c>
      <c r="K1023" s="68">
        <f>19.958 * CHOOSE(CONTROL!$C$22, $C$13, 100%, $E$13)</f>
        <v>19.957999999999998</v>
      </c>
    </row>
    <row r="1024" spans="1:11" ht="15">
      <c r="A1024" s="13">
        <v>72290</v>
      </c>
      <c r="B1024" s="67">
        <f>17.6925 * CHOOSE(CONTROL!$C$22, $C$13, 100%, $E$13)</f>
        <v>17.692499999999999</v>
      </c>
      <c r="C1024" s="67">
        <f>17.6925 * CHOOSE(CONTROL!$C$22, $C$13, 100%, $E$13)</f>
        <v>17.692499999999999</v>
      </c>
      <c r="D1024" s="67">
        <f>17.6964 * CHOOSE(CONTROL!$C$22, $C$13, 100%, $E$13)</f>
        <v>17.696400000000001</v>
      </c>
      <c r="E1024" s="68">
        <f>19.766 * CHOOSE(CONTROL!$C$22, $C$13, 100%, $E$13)</f>
        <v>19.765999999999998</v>
      </c>
      <c r="F1024" s="68">
        <f>19.766 * CHOOSE(CONTROL!$C$22, $C$13, 100%, $E$13)</f>
        <v>19.765999999999998</v>
      </c>
      <c r="G1024" s="68">
        <f>19.7708 * CHOOSE(CONTROL!$C$22, $C$13, 100%, $E$13)</f>
        <v>19.770800000000001</v>
      </c>
      <c r="H1024" s="68">
        <f>31.1981* CHOOSE(CONTROL!$C$22, $C$13, 100%, $E$13)</f>
        <v>31.1981</v>
      </c>
      <c r="I1024" s="68">
        <f>31.2029 * CHOOSE(CONTROL!$C$22, $C$13, 100%, $E$13)</f>
        <v>31.2029</v>
      </c>
      <c r="J1024" s="68">
        <f>19.766 * CHOOSE(CONTROL!$C$22, $C$13, 100%, $E$13)</f>
        <v>19.765999999999998</v>
      </c>
      <c r="K1024" s="68">
        <f>19.7708 * CHOOSE(CONTROL!$C$22, $C$13, 100%, $E$13)</f>
        <v>19.770800000000001</v>
      </c>
    </row>
    <row r="1025" spans="1:11" ht="15">
      <c r="A1025" s="13">
        <v>72321</v>
      </c>
      <c r="B1025" s="67">
        <f>17.6123 * CHOOSE(CONTROL!$C$22, $C$13, 100%, $E$13)</f>
        <v>17.612300000000001</v>
      </c>
      <c r="C1025" s="67">
        <f>17.6123 * CHOOSE(CONTROL!$C$22, $C$13, 100%, $E$13)</f>
        <v>17.612300000000001</v>
      </c>
      <c r="D1025" s="67">
        <f>17.6162 * CHOOSE(CONTROL!$C$22, $C$13, 100%, $E$13)</f>
        <v>17.616199999999999</v>
      </c>
      <c r="E1025" s="68">
        <f>19.8338 * CHOOSE(CONTROL!$C$22, $C$13, 100%, $E$13)</f>
        <v>19.8338</v>
      </c>
      <c r="F1025" s="68">
        <f>19.8338 * CHOOSE(CONTROL!$C$22, $C$13, 100%, $E$13)</f>
        <v>19.8338</v>
      </c>
      <c r="G1025" s="68">
        <f>19.8386 * CHOOSE(CONTROL!$C$22, $C$13, 100%, $E$13)</f>
        <v>19.8386</v>
      </c>
      <c r="H1025" s="68">
        <f>30.8956* CHOOSE(CONTROL!$C$22, $C$13, 100%, $E$13)</f>
        <v>30.895600000000002</v>
      </c>
      <c r="I1025" s="68">
        <f>30.9004 * CHOOSE(CONTROL!$C$22, $C$13, 100%, $E$13)</f>
        <v>30.900400000000001</v>
      </c>
      <c r="J1025" s="68">
        <f>19.8338 * CHOOSE(CONTROL!$C$22, $C$13, 100%, $E$13)</f>
        <v>19.8338</v>
      </c>
      <c r="K1025" s="68">
        <f>19.8386 * CHOOSE(CONTROL!$C$22, $C$13, 100%, $E$13)</f>
        <v>19.8386</v>
      </c>
    </row>
    <row r="1026" spans="1:11" ht="15">
      <c r="A1026" s="13">
        <v>72352</v>
      </c>
      <c r="B1026" s="67">
        <f>17.6093 * CHOOSE(CONTROL!$C$22, $C$13, 100%, $E$13)</f>
        <v>17.609300000000001</v>
      </c>
      <c r="C1026" s="67">
        <f>17.6093 * CHOOSE(CONTROL!$C$22, $C$13, 100%, $E$13)</f>
        <v>17.609300000000001</v>
      </c>
      <c r="D1026" s="67">
        <f>17.6131 * CHOOSE(CONTROL!$C$22, $C$13, 100%, $E$13)</f>
        <v>17.613099999999999</v>
      </c>
      <c r="E1026" s="68">
        <f>19.473 * CHOOSE(CONTROL!$C$22, $C$13, 100%, $E$13)</f>
        <v>19.472999999999999</v>
      </c>
      <c r="F1026" s="68">
        <f>19.473 * CHOOSE(CONTROL!$C$22, $C$13, 100%, $E$13)</f>
        <v>19.472999999999999</v>
      </c>
      <c r="G1026" s="68">
        <f>19.4778 * CHOOSE(CONTROL!$C$22, $C$13, 100%, $E$13)</f>
        <v>19.477799999999998</v>
      </c>
      <c r="H1026" s="68">
        <f>30.96* CHOOSE(CONTROL!$C$22, $C$13, 100%, $E$13)</f>
        <v>30.96</v>
      </c>
      <c r="I1026" s="68">
        <f>30.9648 * CHOOSE(CONTROL!$C$22, $C$13, 100%, $E$13)</f>
        <v>30.9648</v>
      </c>
      <c r="J1026" s="68">
        <f>19.473 * CHOOSE(CONTROL!$C$22, $C$13, 100%, $E$13)</f>
        <v>19.472999999999999</v>
      </c>
      <c r="K1026" s="68">
        <f>19.4778 * CHOOSE(CONTROL!$C$22, $C$13, 100%, $E$13)</f>
        <v>19.477799999999998</v>
      </c>
    </row>
    <row r="1027" spans="1:11" ht="15">
      <c r="A1027" s="13">
        <v>72380</v>
      </c>
      <c r="B1027" s="67">
        <f>17.6062 * CHOOSE(CONTROL!$C$22, $C$13, 100%, $E$13)</f>
        <v>17.606200000000001</v>
      </c>
      <c r="C1027" s="67">
        <f>17.6062 * CHOOSE(CONTROL!$C$22, $C$13, 100%, $E$13)</f>
        <v>17.606200000000001</v>
      </c>
      <c r="D1027" s="67">
        <f>17.6101 * CHOOSE(CONTROL!$C$22, $C$13, 100%, $E$13)</f>
        <v>17.610099999999999</v>
      </c>
      <c r="E1027" s="68">
        <f>19.7537 * CHOOSE(CONTROL!$C$22, $C$13, 100%, $E$13)</f>
        <v>19.753699999999998</v>
      </c>
      <c r="F1027" s="68">
        <f>19.7537 * CHOOSE(CONTROL!$C$22, $C$13, 100%, $E$13)</f>
        <v>19.753699999999998</v>
      </c>
      <c r="G1027" s="68">
        <f>19.7584 * CHOOSE(CONTROL!$C$22, $C$13, 100%, $E$13)</f>
        <v>19.758400000000002</v>
      </c>
      <c r="H1027" s="68">
        <f>31.0245* CHOOSE(CONTROL!$C$22, $C$13, 100%, $E$13)</f>
        <v>31.0245</v>
      </c>
      <c r="I1027" s="68">
        <f>31.0293 * CHOOSE(CONTROL!$C$22, $C$13, 100%, $E$13)</f>
        <v>31.029299999999999</v>
      </c>
      <c r="J1027" s="68">
        <f>19.7537 * CHOOSE(CONTROL!$C$22, $C$13, 100%, $E$13)</f>
        <v>19.753699999999998</v>
      </c>
      <c r="K1027" s="68">
        <f>19.7584 * CHOOSE(CONTROL!$C$22, $C$13, 100%, $E$13)</f>
        <v>19.758400000000002</v>
      </c>
    </row>
    <row r="1028" spans="1:11" ht="15">
      <c r="A1028" s="13">
        <v>72411</v>
      </c>
      <c r="B1028" s="67">
        <f>17.6152 * CHOOSE(CONTROL!$C$22, $C$13, 100%, $E$13)</f>
        <v>17.615200000000002</v>
      </c>
      <c r="C1028" s="67">
        <f>17.6152 * CHOOSE(CONTROL!$C$22, $C$13, 100%, $E$13)</f>
        <v>17.615200000000002</v>
      </c>
      <c r="D1028" s="67">
        <f>17.6191 * CHOOSE(CONTROL!$C$22, $C$13, 100%, $E$13)</f>
        <v>17.6191</v>
      </c>
      <c r="E1028" s="68">
        <f>20.0531 * CHOOSE(CONTROL!$C$22, $C$13, 100%, $E$13)</f>
        <v>20.053100000000001</v>
      </c>
      <c r="F1028" s="68">
        <f>20.0531 * CHOOSE(CONTROL!$C$22, $C$13, 100%, $E$13)</f>
        <v>20.053100000000001</v>
      </c>
      <c r="G1028" s="68">
        <f>20.0579 * CHOOSE(CONTROL!$C$22, $C$13, 100%, $E$13)</f>
        <v>20.0579</v>
      </c>
      <c r="H1028" s="68">
        <f>31.0891* CHOOSE(CONTROL!$C$22, $C$13, 100%, $E$13)</f>
        <v>31.089099999999998</v>
      </c>
      <c r="I1028" s="68">
        <f>31.0939 * CHOOSE(CONTROL!$C$22, $C$13, 100%, $E$13)</f>
        <v>31.093900000000001</v>
      </c>
      <c r="J1028" s="68">
        <f>20.0531 * CHOOSE(CONTROL!$C$22, $C$13, 100%, $E$13)</f>
        <v>20.053100000000001</v>
      </c>
      <c r="K1028" s="68">
        <f>20.0579 * CHOOSE(CONTROL!$C$22, $C$13, 100%, $E$13)</f>
        <v>20.0579</v>
      </c>
    </row>
    <row r="1029" spans="1:11" ht="15">
      <c r="A1029" s="13">
        <v>72441</v>
      </c>
      <c r="B1029" s="67">
        <f>17.6152 * CHOOSE(CONTROL!$C$22, $C$13, 100%, $E$13)</f>
        <v>17.615200000000002</v>
      </c>
      <c r="C1029" s="67">
        <f>17.6152 * CHOOSE(CONTROL!$C$22, $C$13, 100%, $E$13)</f>
        <v>17.615200000000002</v>
      </c>
      <c r="D1029" s="67">
        <f>17.6207 * CHOOSE(CONTROL!$C$22, $C$13, 100%, $E$13)</f>
        <v>17.620699999999999</v>
      </c>
      <c r="E1029" s="68">
        <f>20.167 * CHOOSE(CONTROL!$C$22, $C$13, 100%, $E$13)</f>
        <v>20.167000000000002</v>
      </c>
      <c r="F1029" s="68">
        <f>20.167 * CHOOSE(CONTROL!$C$22, $C$13, 100%, $E$13)</f>
        <v>20.167000000000002</v>
      </c>
      <c r="G1029" s="68">
        <f>20.1737 * CHOOSE(CONTROL!$C$22, $C$13, 100%, $E$13)</f>
        <v>20.1737</v>
      </c>
      <c r="H1029" s="68">
        <f>31.1539* CHOOSE(CONTROL!$C$22, $C$13, 100%, $E$13)</f>
        <v>31.1539</v>
      </c>
      <c r="I1029" s="68">
        <f>31.1606 * CHOOSE(CONTROL!$C$22, $C$13, 100%, $E$13)</f>
        <v>31.160599999999999</v>
      </c>
      <c r="J1029" s="68">
        <f>20.167 * CHOOSE(CONTROL!$C$22, $C$13, 100%, $E$13)</f>
        <v>20.167000000000002</v>
      </c>
      <c r="K1029" s="68">
        <f>20.1737 * CHOOSE(CONTROL!$C$22, $C$13, 100%, $E$13)</f>
        <v>20.1737</v>
      </c>
    </row>
    <row r="1030" spans="1:11" ht="15">
      <c r="A1030" s="13">
        <v>72472</v>
      </c>
      <c r="B1030" s="67">
        <f>17.6213 * CHOOSE(CONTROL!$C$22, $C$13, 100%, $E$13)</f>
        <v>17.621300000000002</v>
      </c>
      <c r="C1030" s="67">
        <f>17.6213 * CHOOSE(CONTROL!$C$22, $C$13, 100%, $E$13)</f>
        <v>17.621300000000002</v>
      </c>
      <c r="D1030" s="67">
        <f>17.6268 * CHOOSE(CONTROL!$C$22, $C$13, 100%, $E$13)</f>
        <v>17.626799999999999</v>
      </c>
      <c r="E1030" s="68">
        <f>20.0573 * CHOOSE(CONTROL!$C$22, $C$13, 100%, $E$13)</f>
        <v>20.057300000000001</v>
      </c>
      <c r="F1030" s="68">
        <f>20.0573 * CHOOSE(CONTROL!$C$22, $C$13, 100%, $E$13)</f>
        <v>20.057300000000001</v>
      </c>
      <c r="G1030" s="68">
        <f>20.0641 * CHOOSE(CONTROL!$C$22, $C$13, 100%, $E$13)</f>
        <v>20.0641</v>
      </c>
      <c r="H1030" s="68">
        <f>31.2188* CHOOSE(CONTROL!$C$22, $C$13, 100%, $E$13)</f>
        <v>31.218800000000002</v>
      </c>
      <c r="I1030" s="68">
        <f>31.2255 * CHOOSE(CONTROL!$C$22, $C$13, 100%, $E$13)</f>
        <v>31.2255</v>
      </c>
      <c r="J1030" s="68">
        <f>20.0573 * CHOOSE(CONTROL!$C$22, $C$13, 100%, $E$13)</f>
        <v>20.057300000000001</v>
      </c>
      <c r="K1030" s="68">
        <f>20.0641 * CHOOSE(CONTROL!$C$22, $C$13, 100%, $E$13)</f>
        <v>20.0641</v>
      </c>
    </row>
    <row r="1031" spans="1:11" ht="15">
      <c r="A1031" s="13">
        <v>72502</v>
      </c>
      <c r="B1031" s="67">
        <f>17.8861 * CHOOSE(CONTROL!$C$22, $C$13, 100%, $E$13)</f>
        <v>17.886099999999999</v>
      </c>
      <c r="C1031" s="67">
        <f>17.8861 * CHOOSE(CONTROL!$C$22, $C$13, 100%, $E$13)</f>
        <v>17.886099999999999</v>
      </c>
      <c r="D1031" s="67">
        <f>17.8916 * CHOOSE(CONTROL!$C$22, $C$13, 100%, $E$13)</f>
        <v>17.8916</v>
      </c>
      <c r="E1031" s="68">
        <f>20.3735 * CHOOSE(CONTROL!$C$22, $C$13, 100%, $E$13)</f>
        <v>20.3735</v>
      </c>
      <c r="F1031" s="68">
        <f>20.3735 * CHOOSE(CONTROL!$C$22, $C$13, 100%, $E$13)</f>
        <v>20.3735</v>
      </c>
      <c r="G1031" s="68">
        <f>20.3802 * CHOOSE(CONTROL!$C$22, $C$13, 100%, $E$13)</f>
        <v>20.380199999999999</v>
      </c>
      <c r="H1031" s="68">
        <f>31.2838* CHOOSE(CONTROL!$C$22, $C$13, 100%, $E$13)</f>
        <v>31.283799999999999</v>
      </c>
      <c r="I1031" s="68">
        <f>31.2906 * CHOOSE(CONTROL!$C$22, $C$13, 100%, $E$13)</f>
        <v>31.290600000000001</v>
      </c>
      <c r="J1031" s="68">
        <f>20.3735 * CHOOSE(CONTROL!$C$22, $C$13, 100%, $E$13)</f>
        <v>20.3735</v>
      </c>
      <c r="K1031" s="68">
        <f>20.3802 * CHOOSE(CONTROL!$C$22, $C$13, 100%, $E$13)</f>
        <v>20.380199999999999</v>
      </c>
    </row>
    <row r="1032" spans="1:11" ht="15">
      <c r="A1032" s="13">
        <v>72533</v>
      </c>
      <c r="B1032" s="67">
        <f>17.8928 * CHOOSE(CONTROL!$C$22, $C$13, 100%, $E$13)</f>
        <v>17.892800000000001</v>
      </c>
      <c r="C1032" s="67">
        <f>17.8928 * CHOOSE(CONTROL!$C$22, $C$13, 100%, $E$13)</f>
        <v>17.892800000000001</v>
      </c>
      <c r="D1032" s="67">
        <f>17.8983 * CHOOSE(CONTROL!$C$22, $C$13, 100%, $E$13)</f>
        <v>17.898299999999999</v>
      </c>
      <c r="E1032" s="68">
        <f>20.0365 * CHOOSE(CONTROL!$C$22, $C$13, 100%, $E$13)</f>
        <v>20.0365</v>
      </c>
      <c r="F1032" s="68">
        <f>20.0365 * CHOOSE(CONTROL!$C$22, $C$13, 100%, $E$13)</f>
        <v>20.0365</v>
      </c>
      <c r="G1032" s="68">
        <f>20.0433 * CHOOSE(CONTROL!$C$22, $C$13, 100%, $E$13)</f>
        <v>20.043299999999999</v>
      </c>
      <c r="H1032" s="68">
        <f>31.349* CHOOSE(CONTROL!$C$22, $C$13, 100%, $E$13)</f>
        <v>31.349</v>
      </c>
      <c r="I1032" s="68">
        <f>31.3558 * CHOOSE(CONTROL!$C$22, $C$13, 100%, $E$13)</f>
        <v>31.355799999999999</v>
      </c>
      <c r="J1032" s="68">
        <f>20.0365 * CHOOSE(CONTROL!$C$22, $C$13, 100%, $E$13)</f>
        <v>20.0365</v>
      </c>
      <c r="K1032" s="68">
        <f>20.0433 * CHOOSE(CONTROL!$C$22, $C$13, 100%, $E$13)</f>
        <v>20.043299999999999</v>
      </c>
    </row>
    <row r="1033" spans="1:11" ht="15">
      <c r="A1033" s="13">
        <v>72564</v>
      </c>
      <c r="B1033" s="67">
        <f>17.8898 * CHOOSE(CONTROL!$C$22, $C$13, 100%, $E$13)</f>
        <v>17.889800000000001</v>
      </c>
      <c r="C1033" s="67">
        <f>17.8898 * CHOOSE(CONTROL!$C$22, $C$13, 100%, $E$13)</f>
        <v>17.889800000000001</v>
      </c>
      <c r="D1033" s="67">
        <f>17.8953 * CHOOSE(CONTROL!$C$22, $C$13, 100%, $E$13)</f>
        <v>17.895299999999999</v>
      </c>
      <c r="E1033" s="68">
        <f>19.9965 * CHOOSE(CONTROL!$C$22, $C$13, 100%, $E$13)</f>
        <v>19.996500000000001</v>
      </c>
      <c r="F1033" s="68">
        <f>19.9965 * CHOOSE(CONTROL!$C$22, $C$13, 100%, $E$13)</f>
        <v>19.996500000000001</v>
      </c>
      <c r="G1033" s="68">
        <f>20.0032 * CHOOSE(CONTROL!$C$22, $C$13, 100%, $E$13)</f>
        <v>20.0032</v>
      </c>
      <c r="H1033" s="68">
        <f>31.4143* CHOOSE(CONTROL!$C$22, $C$13, 100%, $E$13)</f>
        <v>31.414300000000001</v>
      </c>
      <c r="I1033" s="68">
        <f>31.4211 * CHOOSE(CONTROL!$C$22, $C$13, 100%, $E$13)</f>
        <v>31.421099999999999</v>
      </c>
      <c r="J1033" s="68">
        <f>19.9965 * CHOOSE(CONTROL!$C$22, $C$13, 100%, $E$13)</f>
        <v>19.996500000000001</v>
      </c>
      <c r="K1033" s="68">
        <f>20.0032 * CHOOSE(CONTROL!$C$22, $C$13, 100%, $E$13)</f>
        <v>20.0032</v>
      </c>
    </row>
    <row r="1034" spans="1:11" ht="15">
      <c r="A1034" s="13">
        <v>72594</v>
      </c>
      <c r="B1034" s="67">
        <f>17.9294 * CHOOSE(CONTROL!$C$22, $C$13, 100%, $E$13)</f>
        <v>17.929400000000001</v>
      </c>
      <c r="C1034" s="67">
        <f>17.9294 * CHOOSE(CONTROL!$C$22, $C$13, 100%, $E$13)</f>
        <v>17.929400000000001</v>
      </c>
      <c r="D1034" s="67">
        <f>17.9333 * CHOOSE(CONTROL!$C$22, $C$13, 100%, $E$13)</f>
        <v>17.933299999999999</v>
      </c>
      <c r="E1034" s="68">
        <f>20.1349 * CHOOSE(CONTROL!$C$22, $C$13, 100%, $E$13)</f>
        <v>20.134899999999998</v>
      </c>
      <c r="F1034" s="68">
        <f>20.1349 * CHOOSE(CONTROL!$C$22, $C$13, 100%, $E$13)</f>
        <v>20.134899999999998</v>
      </c>
      <c r="G1034" s="68">
        <f>20.1396 * CHOOSE(CONTROL!$C$22, $C$13, 100%, $E$13)</f>
        <v>20.139600000000002</v>
      </c>
      <c r="H1034" s="68">
        <f>31.4798* CHOOSE(CONTROL!$C$22, $C$13, 100%, $E$13)</f>
        <v>31.479800000000001</v>
      </c>
      <c r="I1034" s="68">
        <f>31.4845 * CHOOSE(CONTROL!$C$22, $C$13, 100%, $E$13)</f>
        <v>31.484500000000001</v>
      </c>
      <c r="J1034" s="68">
        <f>20.1349 * CHOOSE(CONTROL!$C$22, $C$13, 100%, $E$13)</f>
        <v>20.134899999999998</v>
      </c>
      <c r="K1034" s="68">
        <f>20.1396 * CHOOSE(CONTROL!$C$22, $C$13, 100%, $E$13)</f>
        <v>20.139600000000002</v>
      </c>
    </row>
    <row r="1035" spans="1:11" ht="15">
      <c r="A1035" s="13">
        <v>72625</v>
      </c>
      <c r="B1035" s="67">
        <f>17.9324 * CHOOSE(CONTROL!$C$22, $C$13, 100%, $E$13)</f>
        <v>17.932400000000001</v>
      </c>
      <c r="C1035" s="67">
        <f>17.9324 * CHOOSE(CONTROL!$C$22, $C$13, 100%, $E$13)</f>
        <v>17.932400000000001</v>
      </c>
      <c r="D1035" s="67">
        <f>17.9363 * CHOOSE(CONTROL!$C$22, $C$13, 100%, $E$13)</f>
        <v>17.936299999999999</v>
      </c>
      <c r="E1035" s="68">
        <f>20.2129 * CHOOSE(CONTROL!$C$22, $C$13, 100%, $E$13)</f>
        <v>20.212900000000001</v>
      </c>
      <c r="F1035" s="68">
        <f>20.2129 * CHOOSE(CONTROL!$C$22, $C$13, 100%, $E$13)</f>
        <v>20.212900000000001</v>
      </c>
      <c r="G1035" s="68">
        <f>20.2177 * CHOOSE(CONTROL!$C$22, $C$13, 100%, $E$13)</f>
        <v>20.217700000000001</v>
      </c>
      <c r="H1035" s="68">
        <f>31.5454* CHOOSE(CONTROL!$C$22, $C$13, 100%, $E$13)</f>
        <v>31.545400000000001</v>
      </c>
      <c r="I1035" s="68">
        <f>31.5501 * CHOOSE(CONTROL!$C$22, $C$13, 100%, $E$13)</f>
        <v>31.5501</v>
      </c>
      <c r="J1035" s="68">
        <f>20.2129 * CHOOSE(CONTROL!$C$22, $C$13, 100%, $E$13)</f>
        <v>20.212900000000001</v>
      </c>
      <c r="K1035" s="68">
        <f>20.2177 * CHOOSE(CONTROL!$C$22, $C$13, 100%, $E$13)</f>
        <v>20.217700000000001</v>
      </c>
    </row>
    <row r="1036" spans="1:11" ht="15">
      <c r="A1036" s="13">
        <v>72655</v>
      </c>
      <c r="B1036" s="67">
        <f>17.9324 * CHOOSE(CONTROL!$C$22, $C$13, 100%, $E$13)</f>
        <v>17.932400000000001</v>
      </c>
      <c r="C1036" s="67">
        <f>17.9324 * CHOOSE(CONTROL!$C$22, $C$13, 100%, $E$13)</f>
        <v>17.932400000000001</v>
      </c>
      <c r="D1036" s="67">
        <f>17.9363 * CHOOSE(CONTROL!$C$22, $C$13, 100%, $E$13)</f>
        <v>17.936299999999999</v>
      </c>
      <c r="E1036" s="68">
        <f>20.0231 * CHOOSE(CONTROL!$C$22, $C$13, 100%, $E$13)</f>
        <v>20.023099999999999</v>
      </c>
      <c r="F1036" s="68">
        <f>20.0231 * CHOOSE(CONTROL!$C$22, $C$13, 100%, $E$13)</f>
        <v>20.023099999999999</v>
      </c>
      <c r="G1036" s="68">
        <f>20.0279 * CHOOSE(CONTROL!$C$22, $C$13, 100%, $E$13)</f>
        <v>20.027899999999999</v>
      </c>
      <c r="H1036" s="68">
        <f>31.6111* CHOOSE(CONTROL!$C$22, $C$13, 100%, $E$13)</f>
        <v>31.6111</v>
      </c>
      <c r="I1036" s="68">
        <f>31.6158 * CHOOSE(CONTROL!$C$22, $C$13, 100%, $E$13)</f>
        <v>31.6158</v>
      </c>
      <c r="J1036" s="68">
        <f>20.0231 * CHOOSE(CONTROL!$C$22, $C$13, 100%, $E$13)</f>
        <v>20.023099999999999</v>
      </c>
      <c r="K1036" s="68">
        <f>20.0279 * CHOOSE(CONTROL!$C$22, $C$13, 100%, $E$13)</f>
        <v>20.027899999999999</v>
      </c>
    </row>
    <row r="1037" spans="1:11" ht="15">
      <c r="A1037" s="13">
        <v>72686</v>
      </c>
      <c r="B1037" s="67">
        <f>17.8479 * CHOOSE(CONTROL!$C$22, $C$13, 100%, $E$13)</f>
        <v>17.847899999999999</v>
      </c>
      <c r="C1037" s="67">
        <f>17.8479 * CHOOSE(CONTROL!$C$22, $C$13, 100%, $E$13)</f>
        <v>17.847899999999999</v>
      </c>
      <c r="D1037" s="67">
        <f>17.8517 * CHOOSE(CONTROL!$C$22, $C$13, 100%, $E$13)</f>
        <v>17.851700000000001</v>
      </c>
      <c r="E1037" s="68">
        <f>20.0886 * CHOOSE(CONTROL!$C$22, $C$13, 100%, $E$13)</f>
        <v>20.0886</v>
      </c>
      <c r="F1037" s="68">
        <f>20.0886 * CHOOSE(CONTROL!$C$22, $C$13, 100%, $E$13)</f>
        <v>20.0886</v>
      </c>
      <c r="G1037" s="68">
        <f>20.0933 * CHOOSE(CONTROL!$C$22, $C$13, 100%, $E$13)</f>
        <v>20.093299999999999</v>
      </c>
      <c r="H1037" s="68">
        <f>31.2993* CHOOSE(CONTROL!$C$22, $C$13, 100%, $E$13)</f>
        <v>31.299299999999999</v>
      </c>
      <c r="I1037" s="68">
        <f>31.304 * CHOOSE(CONTROL!$C$22, $C$13, 100%, $E$13)</f>
        <v>31.303999999999998</v>
      </c>
      <c r="J1037" s="68">
        <f>20.0886 * CHOOSE(CONTROL!$C$22, $C$13, 100%, $E$13)</f>
        <v>20.0886</v>
      </c>
      <c r="K1037" s="68">
        <f>20.0933 * CHOOSE(CONTROL!$C$22, $C$13, 100%, $E$13)</f>
        <v>20.093299999999999</v>
      </c>
    </row>
    <row r="1038" spans="1:11" ht="15">
      <c r="A1038" s="13">
        <v>72717</v>
      </c>
      <c r="B1038" s="67">
        <f>17.8448 * CHOOSE(CONTROL!$C$22, $C$13, 100%, $E$13)</f>
        <v>17.844799999999999</v>
      </c>
      <c r="C1038" s="67">
        <f>17.8448 * CHOOSE(CONTROL!$C$22, $C$13, 100%, $E$13)</f>
        <v>17.844799999999999</v>
      </c>
      <c r="D1038" s="67">
        <f>17.8487 * CHOOSE(CONTROL!$C$22, $C$13, 100%, $E$13)</f>
        <v>17.848700000000001</v>
      </c>
      <c r="E1038" s="68">
        <f>19.7228 * CHOOSE(CONTROL!$C$22, $C$13, 100%, $E$13)</f>
        <v>19.722799999999999</v>
      </c>
      <c r="F1038" s="68">
        <f>19.7228 * CHOOSE(CONTROL!$C$22, $C$13, 100%, $E$13)</f>
        <v>19.722799999999999</v>
      </c>
      <c r="G1038" s="68">
        <f>19.7276 * CHOOSE(CONTROL!$C$22, $C$13, 100%, $E$13)</f>
        <v>19.727599999999999</v>
      </c>
      <c r="H1038" s="68">
        <f>31.3645* CHOOSE(CONTROL!$C$22, $C$13, 100%, $E$13)</f>
        <v>31.3645</v>
      </c>
      <c r="I1038" s="68">
        <f>31.3692 * CHOOSE(CONTROL!$C$22, $C$13, 100%, $E$13)</f>
        <v>31.369199999999999</v>
      </c>
      <c r="J1038" s="68">
        <f>19.7228 * CHOOSE(CONTROL!$C$22, $C$13, 100%, $E$13)</f>
        <v>19.722799999999999</v>
      </c>
      <c r="K1038" s="68">
        <f>19.7276 * CHOOSE(CONTROL!$C$22, $C$13, 100%, $E$13)</f>
        <v>19.727599999999999</v>
      </c>
    </row>
    <row r="1039" spans="1:11" ht="15">
      <c r="A1039" s="13">
        <v>72745</v>
      </c>
      <c r="B1039" s="67">
        <f>17.8418 * CHOOSE(CONTROL!$C$22, $C$13, 100%, $E$13)</f>
        <v>17.841799999999999</v>
      </c>
      <c r="C1039" s="67">
        <f>17.8418 * CHOOSE(CONTROL!$C$22, $C$13, 100%, $E$13)</f>
        <v>17.841799999999999</v>
      </c>
      <c r="D1039" s="67">
        <f>17.8457 * CHOOSE(CONTROL!$C$22, $C$13, 100%, $E$13)</f>
        <v>17.845700000000001</v>
      </c>
      <c r="E1039" s="68">
        <f>20.0074 * CHOOSE(CONTROL!$C$22, $C$13, 100%, $E$13)</f>
        <v>20.007400000000001</v>
      </c>
      <c r="F1039" s="68">
        <f>20.0074 * CHOOSE(CONTROL!$C$22, $C$13, 100%, $E$13)</f>
        <v>20.007400000000001</v>
      </c>
      <c r="G1039" s="68">
        <f>20.0121 * CHOOSE(CONTROL!$C$22, $C$13, 100%, $E$13)</f>
        <v>20.0121</v>
      </c>
      <c r="H1039" s="68">
        <f>31.4298* CHOOSE(CONTROL!$C$22, $C$13, 100%, $E$13)</f>
        <v>31.4298</v>
      </c>
      <c r="I1039" s="68">
        <f>31.4346 * CHOOSE(CONTROL!$C$22, $C$13, 100%, $E$13)</f>
        <v>31.4346</v>
      </c>
      <c r="J1039" s="68">
        <f>20.0074 * CHOOSE(CONTROL!$C$22, $C$13, 100%, $E$13)</f>
        <v>20.007400000000001</v>
      </c>
      <c r="K1039" s="68">
        <f>20.0121 * CHOOSE(CONTROL!$C$22, $C$13, 100%, $E$13)</f>
        <v>20.0121</v>
      </c>
    </row>
    <row r="1040" spans="1:11" ht="15">
      <c r="A1040" s="13">
        <v>72776</v>
      </c>
      <c r="B1040" s="67">
        <f>17.851 * CHOOSE(CONTROL!$C$22, $C$13, 100%, $E$13)</f>
        <v>17.850999999999999</v>
      </c>
      <c r="C1040" s="67">
        <f>17.851 * CHOOSE(CONTROL!$C$22, $C$13, 100%, $E$13)</f>
        <v>17.850999999999999</v>
      </c>
      <c r="D1040" s="67">
        <f>17.8549 * CHOOSE(CONTROL!$C$22, $C$13, 100%, $E$13)</f>
        <v>17.854900000000001</v>
      </c>
      <c r="E1040" s="68">
        <f>20.311 * CHOOSE(CONTROL!$C$22, $C$13, 100%, $E$13)</f>
        <v>20.311</v>
      </c>
      <c r="F1040" s="68">
        <f>20.311 * CHOOSE(CONTROL!$C$22, $C$13, 100%, $E$13)</f>
        <v>20.311</v>
      </c>
      <c r="G1040" s="68">
        <f>20.3157 * CHOOSE(CONTROL!$C$22, $C$13, 100%, $E$13)</f>
        <v>20.3157</v>
      </c>
      <c r="H1040" s="68">
        <f>31.4953* CHOOSE(CONTROL!$C$22, $C$13, 100%, $E$13)</f>
        <v>31.4953</v>
      </c>
      <c r="I1040" s="68">
        <f>31.5001 * CHOOSE(CONTROL!$C$22, $C$13, 100%, $E$13)</f>
        <v>31.5001</v>
      </c>
      <c r="J1040" s="68">
        <f>20.311 * CHOOSE(CONTROL!$C$22, $C$13, 100%, $E$13)</f>
        <v>20.311</v>
      </c>
      <c r="K1040" s="68">
        <f>20.3157 * CHOOSE(CONTROL!$C$22, $C$13, 100%, $E$13)</f>
        <v>20.3157</v>
      </c>
    </row>
    <row r="1041" spans="1:11" ht="15">
      <c r="A1041" s="13">
        <v>72806</v>
      </c>
      <c r="B1041" s="67">
        <f>17.851 * CHOOSE(CONTROL!$C$22, $C$13, 100%, $E$13)</f>
        <v>17.850999999999999</v>
      </c>
      <c r="C1041" s="67">
        <f>17.851 * CHOOSE(CONTROL!$C$22, $C$13, 100%, $E$13)</f>
        <v>17.850999999999999</v>
      </c>
      <c r="D1041" s="67">
        <f>17.8565 * CHOOSE(CONTROL!$C$22, $C$13, 100%, $E$13)</f>
        <v>17.8565</v>
      </c>
      <c r="E1041" s="68">
        <f>20.4264 * CHOOSE(CONTROL!$C$22, $C$13, 100%, $E$13)</f>
        <v>20.426400000000001</v>
      </c>
      <c r="F1041" s="68">
        <f>20.4264 * CHOOSE(CONTROL!$C$22, $C$13, 100%, $E$13)</f>
        <v>20.426400000000001</v>
      </c>
      <c r="G1041" s="68">
        <f>20.4331 * CHOOSE(CONTROL!$C$22, $C$13, 100%, $E$13)</f>
        <v>20.4331</v>
      </c>
      <c r="H1041" s="68">
        <f>31.5609* CHOOSE(CONTROL!$C$22, $C$13, 100%, $E$13)</f>
        <v>31.5609</v>
      </c>
      <c r="I1041" s="68">
        <f>31.5676 * CHOOSE(CONTROL!$C$22, $C$13, 100%, $E$13)</f>
        <v>31.567599999999999</v>
      </c>
      <c r="J1041" s="68">
        <f>20.4264 * CHOOSE(CONTROL!$C$22, $C$13, 100%, $E$13)</f>
        <v>20.426400000000001</v>
      </c>
      <c r="K1041" s="68">
        <f>20.4331 * CHOOSE(CONTROL!$C$22, $C$13, 100%, $E$13)</f>
        <v>20.4331</v>
      </c>
    </row>
    <row r="1042" spans="1:11" ht="15">
      <c r="A1042" s="13">
        <v>72837</v>
      </c>
      <c r="B1042" s="67">
        <f>17.8571 * CHOOSE(CONTROL!$C$22, $C$13, 100%, $E$13)</f>
        <v>17.857099999999999</v>
      </c>
      <c r="C1042" s="67">
        <f>17.8571 * CHOOSE(CONTROL!$C$22, $C$13, 100%, $E$13)</f>
        <v>17.857099999999999</v>
      </c>
      <c r="D1042" s="67">
        <f>17.8626 * CHOOSE(CONTROL!$C$22, $C$13, 100%, $E$13)</f>
        <v>17.8626</v>
      </c>
      <c r="E1042" s="68">
        <f>20.3152 * CHOOSE(CONTROL!$C$22, $C$13, 100%, $E$13)</f>
        <v>20.315200000000001</v>
      </c>
      <c r="F1042" s="68">
        <f>20.3152 * CHOOSE(CONTROL!$C$22, $C$13, 100%, $E$13)</f>
        <v>20.315200000000001</v>
      </c>
      <c r="G1042" s="68">
        <f>20.3219 * CHOOSE(CONTROL!$C$22, $C$13, 100%, $E$13)</f>
        <v>20.321899999999999</v>
      </c>
      <c r="H1042" s="68">
        <f>31.6267* CHOOSE(CONTROL!$C$22, $C$13, 100%, $E$13)</f>
        <v>31.6267</v>
      </c>
      <c r="I1042" s="68">
        <f>31.6334 * CHOOSE(CONTROL!$C$22, $C$13, 100%, $E$13)</f>
        <v>31.633400000000002</v>
      </c>
      <c r="J1042" s="68">
        <f>20.3152 * CHOOSE(CONTROL!$C$22, $C$13, 100%, $E$13)</f>
        <v>20.315200000000001</v>
      </c>
      <c r="K1042" s="68">
        <f>20.3219 * CHOOSE(CONTROL!$C$22, $C$13, 100%, $E$13)</f>
        <v>20.321899999999999</v>
      </c>
    </row>
    <row r="1043" spans="1:11" ht="15">
      <c r="A1043" s="13">
        <v>72867</v>
      </c>
      <c r="B1043" s="67">
        <f>18.1253 * CHOOSE(CONTROL!$C$22, $C$13, 100%, $E$13)</f>
        <v>18.125299999999999</v>
      </c>
      <c r="C1043" s="67">
        <f>18.1253 * CHOOSE(CONTROL!$C$22, $C$13, 100%, $E$13)</f>
        <v>18.125299999999999</v>
      </c>
      <c r="D1043" s="67">
        <f>18.1308 * CHOOSE(CONTROL!$C$22, $C$13, 100%, $E$13)</f>
        <v>18.130800000000001</v>
      </c>
      <c r="E1043" s="68">
        <f>20.6353 * CHOOSE(CONTROL!$C$22, $C$13, 100%, $E$13)</f>
        <v>20.635300000000001</v>
      </c>
      <c r="F1043" s="68">
        <f>20.6353 * CHOOSE(CONTROL!$C$22, $C$13, 100%, $E$13)</f>
        <v>20.635300000000001</v>
      </c>
      <c r="G1043" s="68">
        <f>20.642 * CHOOSE(CONTROL!$C$22, $C$13, 100%, $E$13)</f>
        <v>20.641999999999999</v>
      </c>
      <c r="H1043" s="68">
        <f>31.6926* CHOOSE(CONTROL!$C$22, $C$13, 100%, $E$13)</f>
        <v>31.692599999999999</v>
      </c>
      <c r="I1043" s="68">
        <f>31.6993 * CHOOSE(CONTROL!$C$22, $C$13, 100%, $E$13)</f>
        <v>31.699300000000001</v>
      </c>
      <c r="J1043" s="68">
        <f>20.6353 * CHOOSE(CONTROL!$C$22, $C$13, 100%, $E$13)</f>
        <v>20.635300000000001</v>
      </c>
      <c r="K1043" s="68">
        <f>20.642 * CHOOSE(CONTROL!$C$22, $C$13, 100%, $E$13)</f>
        <v>20.641999999999999</v>
      </c>
    </row>
    <row r="1044" spans="1:11" ht="15">
      <c r="A1044" s="13">
        <v>72898</v>
      </c>
      <c r="B1044" s="67">
        <f>18.132 * CHOOSE(CONTROL!$C$22, $C$13, 100%, $E$13)</f>
        <v>18.132000000000001</v>
      </c>
      <c r="C1044" s="67">
        <f>18.132 * CHOOSE(CONTROL!$C$22, $C$13, 100%, $E$13)</f>
        <v>18.132000000000001</v>
      </c>
      <c r="D1044" s="67">
        <f>18.1375 * CHOOSE(CONTROL!$C$22, $C$13, 100%, $E$13)</f>
        <v>18.137499999999999</v>
      </c>
      <c r="E1044" s="68">
        <f>20.2936 * CHOOSE(CONTROL!$C$22, $C$13, 100%, $E$13)</f>
        <v>20.293600000000001</v>
      </c>
      <c r="F1044" s="68">
        <f>20.2936 * CHOOSE(CONTROL!$C$22, $C$13, 100%, $E$13)</f>
        <v>20.293600000000001</v>
      </c>
      <c r="G1044" s="68">
        <f>20.3003 * CHOOSE(CONTROL!$C$22, $C$13, 100%, $E$13)</f>
        <v>20.3003</v>
      </c>
      <c r="H1044" s="68">
        <f>31.7586* CHOOSE(CONTROL!$C$22, $C$13, 100%, $E$13)</f>
        <v>31.758600000000001</v>
      </c>
      <c r="I1044" s="68">
        <f>31.7653 * CHOOSE(CONTROL!$C$22, $C$13, 100%, $E$13)</f>
        <v>31.7653</v>
      </c>
      <c r="J1044" s="68">
        <f>20.2936 * CHOOSE(CONTROL!$C$22, $C$13, 100%, $E$13)</f>
        <v>20.293600000000001</v>
      </c>
      <c r="K1044" s="68">
        <f>20.3003 * CHOOSE(CONTROL!$C$22, $C$13, 100%, $E$13)</f>
        <v>20.3003</v>
      </c>
    </row>
    <row r="1045" spans="1:11" ht="15">
      <c r="A1045" s="13">
        <v>72929</v>
      </c>
      <c r="B1045" s="67">
        <f>18.1289 * CHOOSE(CONTROL!$C$22, $C$13, 100%, $E$13)</f>
        <v>18.128900000000002</v>
      </c>
      <c r="C1045" s="67">
        <f>18.1289 * CHOOSE(CONTROL!$C$22, $C$13, 100%, $E$13)</f>
        <v>18.128900000000002</v>
      </c>
      <c r="D1045" s="67">
        <f>18.1344 * CHOOSE(CONTROL!$C$22, $C$13, 100%, $E$13)</f>
        <v>18.134399999999999</v>
      </c>
      <c r="E1045" s="68">
        <f>20.253 * CHOOSE(CONTROL!$C$22, $C$13, 100%, $E$13)</f>
        <v>20.253</v>
      </c>
      <c r="F1045" s="68">
        <f>20.253 * CHOOSE(CONTROL!$C$22, $C$13, 100%, $E$13)</f>
        <v>20.253</v>
      </c>
      <c r="G1045" s="68">
        <f>20.2597 * CHOOSE(CONTROL!$C$22, $C$13, 100%, $E$13)</f>
        <v>20.259699999999999</v>
      </c>
      <c r="H1045" s="68">
        <f>31.8247* CHOOSE(CONTROL!$C$22, $C$13, 100%, $E$13)</f>
        <v>31.8247</v>
      </c>
      <c r="I1045" s="68">
        <f>31.8315 * CHOOSE(CONTROL!$C$22, $C$13, 100%, $E$13)</f>
        <v>31.831499999999998</v>
      </c>
      <c r="J1045" s="68">
        <f>20.253 * CHOOSE(CONTROL!$C$22, $C$13, 100%, $E$13)</f>
        <v>20.253</v>
      </c>
      <c r="K1045" s="68">
        <f>20.2597 * CHOOSE(CONTROL!$C$22, $C$13, 100%, $E$13)</f>
        <v>20.259699999999999</v>
      </c>
    </row>
    <row r="1046" spans="1:11" ht="15">
      <c r="A1046" s="13">
        <v>72959</v>
      </c>
      <c r="B1046" s="67">
        <f>18.1693 * CHOOSE(CONTROL!$C$22, $C$13, 100%, $E$13)</f>
        <v>18.1693</v>
      </c>
      <c r="C1046" s="67">
        <f>18.1693 * CHOOSE(CONTROL!$C$22, $C$13, 100%, $E$13)</f>
        <v>18.1693</v>
      </c>
      <c r="D1046" s="67">
        <f>18.1732 * CHOOSE(CONTROL!$C$22, $C$13, 100%, $E$13)</f>
        <v>18.173200000000001</v>
      </c>
      <c r="E1046" s="68">
        <f>20.3935 * CHOOSE(CONTROL!$C$22, $C$13, 100%, $E$13)</f>
        <v>20.3935</v>
      </c>
      <c r="F1046" s="68">
        <f>20.3935 * CHOOSE(CONTROL!$C$22, $C$13, 100%, $E$13)</f>
        <v>20.3935</v>
      </c>
      <c r="G1046" s="68">
        <f>20.3983 * CHOOSE(CONTROL!$C$22, $C$13, 100%, $E$13)</f>
        <v>20.398299999999999</v>
      </c>
      <c r="H1046" s="68">
        <f>31.891* CHOOSE(CONTROL!$C$22, $C$13, 100%, $E$13)</f>
        <v>31.890999999999998</v>
      </c>
      <c r="I1046" s="68">
        <f>31.8958 * CHOOSE(CONTROL!$C$22, $C$13, 100%, $E$13)</f>
        <v>31.895800000000001</v>
      </c>
      <c r="J1046" s="68">
        <f>20.3935 * CHOOSE(CONTROL!$C$22, $C$13, 100%, $E$13)</f>
        <v>20.3935</v>
      </c>
      <c r="K1046" s="68">
        <f>20.3983 * CHOOSE(CONTROL!$C$22, $C$13, 100%, $E$13)</f>
        <v>20.398299999999999</v>
      </c>
    </row>
    <row r="1047" spans="1:11" ht="15">
      <c r="A1047" s="13">
        <v>72990</v>
      </c>
      <c r="B1047" s="67">
        <f>18.1724 * CHOOSE(CONTROL!$C$22, $C$13, 100%, $E$13)</f>
        <v>18.1724</v>
      </c>
      <c r="C1047" s="67">
        <f>18.1724 * CHOOSE(CONTROL!$C$22, $C$13, 100%, $E$13)</f>
        <v>18.1724</v>
      </c>
      <c r="D1047" s="67">
        <f>18.1762 * CHOOSE(CONTROL!$C$22, $C$13, 100%, $E$13)</f>
        <v>18.176200000000001</v>
      </c>
      <c r="E1047" s="68">
        <f>20.4726 * CHOOSE(CONTROL!$C$22, $C$13, 100%, $E$13)</f>
        <v>20.4726</v>
      </c>
      <c r="F1047" s="68">
        <f>20.4726 * CHOOSE(CONTROL!$C$22, $C$13, 100%, $E$13)</f>
        <v>20.4726</v>
      </c>
      <c r="G1047" s="68">
        <f>20.4774 * CHOOSE(CONTROL!$C$22, $C$13, 100%, $E$13)</f>
        <v>20.477399999999999</v>
      </c>
      <c r="H1047" s="68">
        <f>31.9575* CHOOSE(CONTROL!$C$22, $C$13, 100%, $E$13)</f>
        <v>31.9575</v>
      </c>
      <c r="I1047" s="68">
        <f>31.9623 * CHOOSE(CONTROL!$C$22, $C$13, 100%, $E$13)</f>
        <v>31.962299999999999</v>
      </c>
      <c r="J1047" s="68">
        <f>20.4726 * CHOOSE(CONTROL!$C$22, $C$13, 100%, $E$13)</f>
        <v>20.4726</v>
      </c>
      <c r="K1047" s="68">
        <f>20.4774 * CHOOSE(CONTROL!$C$22, $C$13, 100%, $E$13)</f>
        <v>20.477399999999999</v>
      </c>
    </row>
    <row r="1048" spans="1:11" ht="15">
      <c r="A1048" s="13">
        <v>73020</v>
      </c>
      <c r="B1048" s="67">
        <f>18.1724 * CHOOSE(CONTROL!$C$22, $C$13, 100%, $E$13)</f>
        <v>18.1724</v>
      </c>
      <c r="C1048" s="67">
        <f>18.1724 * CHOOSE(CONTROL!$C$22, $C$13, 100%, $E$13)</f>
        <v>18.1724</v>
      </c>
      <c r="D1048" s="67">
        <f>18.1762 * CHOOSE(CONTROL!$C$22, $C$13, 100%, $E$13)</f>
        <v>18.176200000000001</v>
      </c>
      <c r="E1048" s="68">
        <f>20.2802 * CHOOSE(CONTROL!$C$22, $C$13, 100%, $E$13)</f>
        <v>20.280200000000001</v>
      </c>
      <c r="F1048" s="68">
        <f>20.2802 * CHOOSE(CONTROL!$C$22, $C$13, 100%, $E$13)</f>
        <v>20.280200000000001</v>
      </c>
      <c r="G1048" s="68">
        <f>20.285 * CHOOSE(CONTROL!$C$22, $C$13, 100%, $E$13)</f>
        <v>20.285</v>
      </c>
      <c r="H1048" s="68">
        <f>32.0241* CHOOSE(CONTROL!$C$22, $C$13, 100%, $E$13)</f>
        <v>32.024099999999997</v>
      </c>
      <c r="I1048" s="68">
        <f>32.0288 * CHOOSE(CONTROL!$C$22, $C$13, 100%, $E$13)</f>
        <v>32.028799999999997</v>
      </c>
      <c r="J1048" s="68">
        <f>20.2802 * CHOOSE(CONTROL!$C$22, $C$13, 100%, $E$13)</f>
        <v>20.280200000000001</v>
      </c>
      <c r="K1048" s="68">
        <f>20.285 * CHOOSE(CONTROL!$C$22, $C$13, 100%, $E$13)</f>
        <v>20.285</v>
      </c>
    </row>
    <row r="1049" spans="1:11" ht="15">
      <c r="A1049" s="13">
        <v>73051</v>
      </c>
      <c r="B1049" s="67">
        <f>18.0834 * CHOOSE(CONTROL!$C$22, $C$13, 100%, $E$13)</f>
        <v>18.083400000000001</v>
      </c>
      <c r="C1049" s="67">
        <f>18.0834 * CHOOSE(CONTROL!$C$22, $C$13, 100%, $E$13)</f>
        <v>18.083400000000001</v>
      </c>
      <c r="D1049" s="67">
        <f>18.0873 * CHOOSE(CONTROL!$C$22, $C$13, 100%, $E$13)</f>
        <v>18.087299999999999</v>
      </c>
      <c r="E1049" s="68">
        <f>20.3433 * CHOOSE(CONTROL!$C$22, $C$13, 100%, $E$13)</f>
        <v>20.343299999999999</v>
      </c>
      <c r="F1049" s="68">
        <f>20.3433 * CHOOSE(CONTROL!$C$22, $C$13, 100%, $E$13)</f>
        <v>20.343299999999999</v>
      </c>
      <c r="G1049" s="68">
        <f>20.348 * CHOOSE(CONTROL!$C$22, $C$13, 100%, $E$13)</f>
        <v>20.347999999999999</v>
      </c>
      <c r="H1049" s="68">
        <f>31.7029* CHOOSE(CONTROL!$C$22, $C$13, 100%, $E$13)</f>
        <v>31.7029</v>
      </c>
      <c r="I1049" s="68">
        <f>31.7077 * CHOOSE(CONTROL!$C$22, $C$13, 100%, $E$13)</f>
        <v>31.707699999999999</v>
      </c>
      <c r="J1049" s="68">
        <f>20.3433 * CHOOSE(CONTROL!$C$22, $C$13, 100%, $E$13)</f>
        <v>20.343299999999999</v>
      </c>
      <c r="K1049" s="68">
        <f>20.348 * CHOOSE(CONTROL!$C$22, $C$13, 100%, $E$13)</f>
        <v>20.347999999999999</v>
      </c>
    </row>
    <row r="1050" spans="1:11" ht="15">
      <c r="A1050" s="13">
        <v>73082</v>
      </c>
      <c r="B1050" s="67">
        <f>18.0804 * CHOOSE(CONTROL!$C$22, $C$13, 100%, $E$13)</f>
        <v>18.080400000000001</v>
      </c>
      <c r="C1050" s="67">
        <f>18.0804 * CHOOSE(CONTROL!$C$22, $C$13, 100%, $E$13)</f>
        <v>18.080400000000001</v>
      </c>
      <c r="D1050" s="67">
        <f>18.0843 * CHOOSE(CONTROL!$C$22, $C$13, 100%, $E$13)</f>
        <v>18.084299999999999</v>
      </c>
      <c r="E1050" s="68">
        <f>19.9726 * CHOOSE(CONTROL!$C$22, $C$13, 100%, $E$13)</f>
        <v>19.9726</v>
      </c>
      <c r="F1050" s="68">
        <f>19.9726 * CHOOSE(CONTROL!$C$22, $C$13, 100%, $E$13)</f>
        <v>19.9726</v>
      </c>
      <c r="G1050" s="68">
        <f>19.9774 * CHOOSE(CONTROL!$C$22, $C$13, 100%, $E$13)</f>
        <v>19.977399999999999</v>
      </c>
      <c r="H1050" s="68">
        <f>31.7689* CHOOSE(CONTROL!$C$22, $C$13, 100%, $E$13)</f>
        <v>31.768899999999999</v>
      </c>
      <c r="I1050" s="68">
        <f>31.7737 * CHOOSE(CONTROL!$C$22, $C$13, 100%, $E$13)</f>
        <v>31.773700000000002</v>
      </c>
      <c r="J1050" s="68">
        <f>19.9726 * CHOOSE(CONTROL!$C$22, $C$13, 100%, $E$13)</f>
        <v>19.9726</v>
      </c>
      <c r="K1050" s="68">
        <f>19.9774 * CHOOSE(CONTROL!$C$22, $C$13, 100%, $E$13)</f>
        <v>19.977399999999999</v>
      </c>
    </row>
    <row r="1051" spans="1:11" ht="15">
      <c r="A1051" s="13">
        <v>73110</v>
      </c>
      <c r="B1051" s="67">
        <f>18.0774 * CHOOSE(CONTROL!$C$22, $C$13, 100%, $E$13)</f>
        <v>18.077400000000001</v>
      </c>
      <c r="C1051" s="67">
        <f>18.0774 * CHOOSE(CONTROL!$C$22, $C$13, 100%, $E$13)</f>
        <v>18.077400000000001</v>
      </c>
      <c r="D1051" s="67">
        <f>18.0812 * CHOOSE(CONTROL!$C$22, $C$13, 100%, $E$13)</f>
        <v>18.081199999999999</v>
      </c>
      <c r="E1051" s="68">
        <f>20.261 * CHOOSE(CONTROL!$C$22, $C$13, 100%, $E$13)</f>
        <v>20.260999999999999</v>
      </c>
      <c r="F1051" s="68">
        <f>20.261 * CHOOSE(CONTROL!$C$22, $C$13, 100%, $E$13)</f>
        <v>20.260999999999999</v>
      </c>
      <c r="G1051" s="68">
        <f>20.2658 * CHOOSE(CONTROL!$C$22, $C$13, 100%, $E$13)</f>
        <v>20.265799999999999</v>
      </c>
      <c r="H1051" s="68">
        <f>31.8351* CHOOSE(CONTROL!$C$22, $C$13, 100%, $E$13)</f>
        <v>31.835100000000001</v>
      </c>
      <c r="I1051" s="68">
        <f>31.8399 * CHOOSE(CONTROL!$C$22, $C$13, 100%, $E$13)</f>
        <v>31.8399</v>
      </c>
      <c r="J1051" s="68">
        <f>20.261 * CHOOSE(CONTROL!$C$22, $C$13, 100%, $E$13)</f>
        <v>20.260999999999999</v>
      </c>
      <c r="K1051" s="68">
        <f>20.2658 * CHOOSE(CONTROL!$C$22, $C$13, 100%, $E$13)</f>
        <v>20.265799999999999</v>
      </c>
    </row>
    <row r="1052" spans="1:11" ht="15">
      <c r="A1052" s="13">
        <v>73141</v>
      </c>
      <c r="B1052" s="67">
        <f>18.0868 * CHOOSE(CONTROL!$C$22, $C$13, 100%, $E$13)</f>
        <v>18.0868</v>
      </c>
      <c r="C1052" s="67">
        <f>18.0868 * CHOOSE(CONTROL!$C$22, $C$13, 100%, $E$13)</f>
        <v>18.0868</v>
      </c>
      <c r="D1052" s="67">
        <f>18.0906 * CHOOSE(CONTROL!$C$22, $C$13, 100%, $E$13)</f>
        <v>18.090599999999998</v>
      </c>
      <c r="E1052" s="68">
        <f>20.5688 * CHOOSE(CONTROL!$C$22, $C$13, 100%, $E$13)</f>
        <v>20.5688</v>
      </c>
      <c r="F1052" s="68">
        <f>20.5688 * CHOOSE(CONTROL!$C$22, $C$13, 100%, $E$13)</f>
        <v>20.5688</v>
      </c>
      <c r="G1052" s="68">
        <f>20.5736 * CHOOSE(CONTROL!$C$22, $C$13, 100%, $E$13)</f>
        <v>20.573599999999999</v>
      </c>
      <c r="H1052" s="68">
        <f>31.9015* CHOOSE(CONTROL!$C$22, $C$13, 100%, $E$13)</f>
        <v>31.901499999999999</v>
      </c>
      <c r="I1052" s="68">
        <f>31.9062 * CHOOSE(CONTROL!$C$22, $C$13, 100%, $E$13)</f>
        <v>31.906199999999998</v>
      </c>
      <c r="J1052" s="68">
        <f>20.5688 * CHOOSE(CONTROL!$C$22, $C$13, 100%, $E$13)</f>
        <v>20.5688</v>
      </c>
      <c r="K1052" s="68">
        <f>20.5736 * CHOOSE(CONTROL!$C$22, $C$13, 100%, $E$13)</f>
        <v>20.573599999999999</v>
      </c>
    </row>
    <row r="1053" spans="1:11" ht="15">
      <c r="A1053" s="13">
        <v>73171</v>
      </c>
      <c r="B1053" s="67">
        <f>18.0868 * CHOOSE(CONTROL!$C$22, $C$13, 100%, $E$13)</f>
        <v>18.0868</v>
      </c>
      <c r="C1053" s="67">
        <f>18.0868 * CHOOSE(CONTROL!$C$22, $C$13, 100%, $E$13)</f>
        <v>18.0868</v>
      </c>
      <c r="D1053" s="67">
        <f>18.0923 * CHOOSE(CONTROL!$C$22, $C$13, 100%, $E$13)</f>
        <v>18.092300000000002</v>
      </c>
      <c r="E1053" s="68">
        <f>20.6858 * CHOOSE(CONTROL!$C$22, $C$13, 100%, $E$13)</f>
        <v>20.6858</v>
      </c>
      <c r="F1053" s="68">
        <f>20.6858 * CHOOSE(CONTROL!$C$22, $C$13, 100%, $E$13)</f>
        <v>20.6858</v>
      </c>
      <c r="G1053" s="68">
        <f>20.6926 * CHOOSE(CONTROL!$C$22, $C$13, 100%, $E$13)</f>
        <v>20.692599999999999</v>
      </c>
      <c r="H1053" s="68">
        <f>31.9679* CHOOSE(CONTROL!$C$22, $C$13, 100%, $E$13)</f>
        <v>31.9679</v>
      </c>
      <c r="I1053" s="68">
        <f>31.9747 * CHOOSE(CONTROL!$C$22, $C$13, 100%, $E$13)</f>
        <v>31.974699999999999</v>
      </c>
      <c r="J1053" s="68">
        <f>20.6858 * CHOOSE(CONTROL!$C$22, $C$13, 100%, $E$13)</f>
        <v>20.6858</v>
      </c>
      <c r="K1053" s="68">
        <f>20.6926 * CHOOSE(CONTROL!$C$22, $C$13, 100%, $E$13)</f>
        <v>20.692599999999999</v>
      </c>
    </row>
    <row r="1054" spans="1:11" ht="15">
      <c r="A1054" s="13">
        <v>73202</v>
      </c>
      <c r="B1054" s="67">
        <f>18.0928 * CHOOSE(CONTROL!$C$22, $C$13, 100%, $E$13)</f>
        <v>18.0928</v>
      </c>
      <c r="C1054" s="67">
        <f>18.0928 * CHOOSE(CONTROL!$C$22, $C$13, 100%, $E$13)</f>
        <v>18.0928</v>
      </c>
      <c r="D1054" s="67">
        <f>18.0983 * CHOOSE(CONTROL!$C$22, $C$13, 100%, $E$13)</f>
        <v>18.098299999999998</v>
      </c>
      <c r="E1054" s="68">
        <f>20.5731 * CHOOSE(CONTROL!$C$22, $C$13, 100%, $E$13)</f>
        <v>20.5731</v>
      </c>
      <c r="F1054" s="68">
        <f>20.5731 * CHOOSE(CONTROL!$C$22, $C$13, 100%, $E$13)</f>
        <v>20.5731</v>
      </c>
      <c r="G1054" s="68">
        <f>20.5798 * CHOOSE(CONTROL!$C$22, $C$13, 100%, $E$13)</f>
        <v>20.579799999999999</v>
      </c>
      <c r="H1054" s="68">
        <f>32.0345* CHOOSE(CONTROL!$C$22, $C$13, 100%, $E$13)</f>
        <v>32.034500000000001</v>
      </c>
      <c r="I1054" s="68">
        <f>32.0413 * CHOOSE(CONTROL!$C$22, $C$13, 100%, $E$13)</f>
        <v>32.0413</v>
      </c>
      <c r="J1054" s="68">
        <f>20.5731 * CHOOSE(CONTROL!$C$22, $C$13, 100%, $E$13)</f>
        <v>20.5731</v>
      </c>
      <c r="K1054" s="68">
        <f>20.5798 * CHOOSE(CONTROL!$C$22, $C$13, 100%, $E$13)</f>
        <v>20.579799999999999</v>
      </c>
    </row>
    <row r="1055" spans="1:11" ht="15">
      <c r="A1055" s="13">
        <v>73232</v>
      </c>
      <c r="B1055" s="67">
        <f>18.3645 * CHOOSE(CONTROL!$C$22, $C$13, 100%, $E$13)</f>
        <v>18.3645</v>
      </c>
      <c r="C1055" s="67">
        <f>18.3645 * CHOOSE(CONTROL!$C$22, $C$13, 100%, $E$13)</f>
        <v>18.3645</v>
      </c>
      <c r="D1055" s="67">
        <f>18.37 * CHOOSE(CONTROL!$C$22, $C$13, 100%, $E$13)</f>
        <v>18.37</v>
      </c>
      <c r="E1055" s="68">
        <f>20.897 * CHOOSE(CONTROL!$C$22, $C$13, 100%, $E$13)</f>
        <v>20.896999999999998</v>
      </c>
      <c r="F1055" s="68">
        <f>20.897 * CHOOSE(CONTROL!$C$22, $C$13, 100%, $E$13)</f>
        <v>20.896999999999998</v>
      </c>
      <c r="G1055" s="68">
        <f>20.9038 * CHOOSE(CONTROL!$C$22, $C$13, 100%, $E$13)</f>
        <v>20.9038</v>
      </c>
      <c r="H1055" s="68">
        <f>32.1013* CHOOSE(CONTROL!$C$22, $C$13, 100%, $E$13)</f>
        <v>32.101300000000002</v>
      </c>
      <c r="I1055" s="68">
        <f>32.108 * CHOOSE(CONTROL!$C$22, $C$13, 100%, $E$13)</f>
        <v>32.107999999999997</v>
      </c>
      <c r="J1055" s="68">
        <f>20.897 * CHOOSE(CONTROL!$C$22, $C$13, 100%, $E$13)</f>
        <v>20.896999999999998</v>
      </c>
      <c r="K1055" s="68">
        <f>20.9038 * CHOOSE(CONTROL!$C$22, $C$13, 100%, $E$13)</f>
        <v>20.9038</v>
      </c>
    </row>
    <row r="1056" spans="1:11" ht="15">
      <c r="A1056" s="13">
        <v>73263</v>
      </c>
      <c r="B1056" s="67">
        <f>18.3712 * CHOOSE(CONTROL!$C$22, $C$13, 100%, $E$13)</f>
        <v>18.371200000000002</v>
      </c>
      <c r="C1056" s="67">
        <f>18.3712 * CHOOSE(CONTROL!$C$22, $C$13, 100%, $E$13)</f>
        <v>18.371200000000002</v>
      </c>
      <c r="D1056" s="67">
        <f>18.3767 * CHOOSE(CONTROL!$C$22, $C$13, 100%, $E$13)</f>
        <v>18.3767</v>
      </c>
      <c r="E1056" s="68">
        <f>20.5507 * CHOOSE(CONTROL!$C$22, $C$13, 100%, $E$13)</f>
        <v>20.550699999999999</v>
      </c>
      <c r="F1056" s="68">
        <f>20.5507 * CHOOSE(CONTROL!$C$22, $C$13, 100%, $E$13)</f>
        <v>20.550699999999999</v>
      </c>
      <c r="G1056" s="68">
        <f>20.5574 * CHOOSE(CONTROL!$C$22, $C$13, 100%, $E$13)</f>
        <v>20.557400000000001</v>
      </c>
      <c r="H1056" s="68">
        <f>32.1681* CHOOSE(CONTROL!$C$22, $C$13, 100%, $E$13)</f>
        <v>32.168100000000003</v>
      </c>
      <c r="I1056" s="68">
        <f>32.1749 * CHOOSE(CONTROL!$C$22, $C$13, 100%, $E$13)</f>
        <v>32.174900000000001</v>
      </c>
      <c r="J1056" s="68">
        <f>20.5507 * CHOOSE(CONTROL!$C$22, $C$13, 100%, $E$13)</f>
        <v>20.550699999999999</v>
      </c>
      <c r="K1056" s="68">
        <f>20.5574 * CHOOSE(CONTROL!$C$22, $C$13, 100%, $E$13)</f>
        <v>20.557400000000001</v>
      </c>
    </row>
    <row r="1057" spans="1:11" ht="15">
      <c r="A1057" s="13">
        <v>73294</v>
      </c>
      <c r="B1057" s="67">
        <f>18.3681 * CHOOSE(CONTROL!$C$22, $C$13, 100%, $E$13)</f>
        <v>18.368099999999998</v>
      </c>
      <c r="C1057" s="67">
        <f>18.3681 * CHOOSE(CONTROL!$C$22, $C$13, 100%, $E$13)</f>
        <v>18.368099999999998</v>
      </c>
      <c r="D1057" s="67">
        <f>18.3736 * CHOOSE(CONTROL!$C$22, $C$13, 100%, $E$13)</f>
        <v>18.3736</v>
      </c>
      <c r="E1057" s="68">
        <f>20.5095 * CHOOSE(CONTROL!$C$22, $C$13, 100%, $E$13)</f>
        <v>20.509499999999999</v>
      </c>
      <c r="F1057" s="68">
        <f>20.5095 * CHOOSE(CONTROL!$C$22, $C$13, 100%, $E$13)</f>
        <v>20.509499999999999</v>
      </c>
      <c r="G1057" s="68">
        <f>20.5163 * CHOOSE(CONTROL!$C$22, $C$13, 100%, $E$13)</f>
        <v>20.516300000000001</v>
      </c>
      <c r="H1057" s="68">
        <f>32.2352* CHOOSE(CONTROL!$C$22, $C$13, 100%, $E$13)</f>
        <v>32.235199999999999</v>
      </c>
      <c r="I1057" s="68">
        <f>32.2419 * CHOOSE(CONTROL!$C$22, $C$13, 100%, $E$13)</f>
        <v>32.241900000000001</v>
      </c>
      <c r="J1057" s="68">
        <f>20.5095 * CHOOSE(CONTROL!$C$22, $C$13, 100%, $E$13)</f>
        <v>20.509499999999999</v>
      </c>
      <c r="K1057" s="68">
        <f>20.5163 * CHOOSE(CONTROL!$C$22, $C$13, 100%, $E$13)</f>
        <v>20.516300000000001</v>
      </c>
    </row>
    <row r="1058" spans="1:11" ht="15">
      <c r="A1058" s="13">
        <v>73324</v>
      </c>
      <c r="B1058" s="67">
        <f>18.4093 * CHOOSE(CONTROL!$C$22, $C$13, 100%, $E$13)</f>
        <v>18.409300000000002</v>
      </c>
      <c r="C1058" s="67">
        <f>18.4093 * CHOOSE(CONTROL!$C$22, $C$13, 100%, $E$13)</f>
        <v>18.409300000000002</v>
      </c>
      <c r="D1058" s="67">
        <f>18.4131 * CHOOSE(CONTROL!$C$22, $C$13, 100%, $E$13)</f>
        <v>18.4131</v>
      </c>
      <c r="E1058" s="68">
        <f>20.6521 * CHOOSE(CONTROL!$C$22, $C$13, 100%, $E$13)</f>
        <v>20.652100000000001</v>
      </c>
      <c r="F1058" s="68">
        <f>20.6521 * CHOOSE(CONTROL!$C$22, $C$13, 100%, $E$13)</f>
        <v>20.652100000000001</v>
      </c>
      <c r="G1058" s="68">
        <f>20.6569 * CHOOSE(CONTROL!$C$22, $C$13, 100%, $E$13)</f>
        <v>20.6569</v>
      </c>
      <c r="H1058" s="68">
        <f>32.3023* CHOOSE(CONTROL!$C$22, $C$13, 100%, $E$13)</f>
        <v>32.302300000000002</v>
      </c>
      <c r="I1058" s="68">
        <f>32.3071 * CHOOSE(CONTROL!$C$22, $C$13, 100%, $E$13)</f>
        <v>32.307099999999998</v>
      </c>
      <c r="J1058" s="68">
        <f>20.6521 * CHOOSE(CONTROL!$C$22, $C$13, 100%, $E$13)</f>
        <v>20.652100000000001</v>
      </c>
      <c r="K1058" s="68">
        <f>20.6569 * CHOOSE(CONTROL!$C$22, $C$13, 100%, $E$13)</f>
        <v>20.6569</v>
      </c>
    </row>
    <row r="1059" spans="1:11" ht="15">
      <c r="A1059" s="13">
        <v>73355</v>
      </c>
      <c r="B1059" s="67">
        <f>18.4123 * CHOOSE(CONTROL!$C$22, $C$13, 100%, $E$13)</f>
        <v>18.412299999999998</v>
      </c>
      <c r="C1059" s="67">
        <f>18.4123 * CHOOSE(CONTROL!$C$22, $C$13, 100%, $E$13)</f>
        <v>18.412299999999998</v>
      </c>
      <c r="D1059" s="67">
        <f>18.4162 * CHOOSE(CONTROL!$C$22, $C$13, 100%, $E$13)</f>
        <v>18.4162</v>
      </c>
      <c r="E1059" s="68">
        <f>20.7323 * CHOOSE(CONTROL!$C$22, $C$13, 100%, $E$13)</f>
        <v>20.732299999999999</v>
      </c>
      <c r="F1059" s="68">
        <f>20.7323 * CHOOSE(CONTROL!$C$22, $C$13, 100%, $E$13)</f>
        <v>20.732299999999999</v>
      </c>
      <c r="G1059" s="68">
        <f>20.737 * CHOOSE(CONTROL!$C$22, $C$13, 100%, $E$13)</f>
        <v>20.736999999999998</v>
      </c>
      <c r="H1059" s="68">
        <f>32.3696* CHOOSE(CONTROL!$C$22, $C$13, 100%, $E$13)</f>
        <v>32.369599999999998</v>
      </c>
      <c r="I1059" s="68">
        <f>32.3744 * CHOOSE(CONTROL!$C$22, $C$13, 100%, $E$13)</f>
        <v>32.374400000000001</v>
      </c>
      <c r="J1059" s="68">
        <f>20.7323 * CHOOSE(CONTROL!$C$22, $C$13, 100%, $E$13)</f>
        <v>20.732299999999999</v>
      </c>
      <c r="K1059" s="68">
        <f>20.737 * CHOOSE(CONTROL!$C$22, $C$13, 100%, $E$13)</f>
        <v>20.736999999999998</v>
      </c>
    </row>
    <row r="1060" spans="1:11" ht="15">
      <c r="A1060" s="13">
        <v>73385</v>
      </c>
      <c r="B1060" s="67">
        <f>18.4123 * CHOOSE(CONTROL!$C$22, $C$13, 100%, $E$13)</f>
        <v>18.412299999999998</v>
      </c>
      <c r="C1060" s="67">
        <f>18.4123 * CHOOSE(CONTROL!$C$22, $C$13, 100%, $E$13)</f>
        <v>18.412299999999998</v>
      </c>
      <c r="D1060" s="67">
        <f>18.4162 * CHOOSE(CONTROL!$C$22, $C$13, 100%, $E$13)</f>
        <v>18.4162</v>
      </c>
      <c r="E1060" s="68">
        <f>20.5373 * CHOOSE(CONTROL!$C$22, $C$13, 100%, $E$13)</f>
        <v>20.537299999999998</v>
      </c>
      <c r="F1060" s="68">
        <f>20.5373 * CHOOSE(CONTROL!$C$22, $C$13, 100%, $E$13)</f>
        <v>20.537299999999998</v>
      </c>
      <c r="G1060" s="68">
        <f>20.542 * CHOOSE(CONTROL!$C$22, $C$13, 100%, $E$13)</f>
        <v>20.542000000000002</v>
      </c>
      <c r="H1060" s="68">
        <f>32.437* CHOOSE(CONTROL!$C$22, $C$13, 100%, $E$13)</f>
        <v>32.436999999999998</v>
      </c>
      <c r="I1060" s="68">
        <f>32.4418 * CHOOSE(CONTROL!$C$22, $C$13, 100%, $E$13)</f>
        <v>32.441800000000001</v>
      </c>
      <c r="J1060" s="68">
        <f>20.5373 * CHOOSE(CONTROL!$C$22, $C$13, 100%, $E$13)</f>
        <v>20.537299999999998</v>
      </c>
      <c r="K1060" s="68">
        <f>20.542 * CHOOSE(CONTROL!$C$22, $C$13, 100%, $E$13)</f>
        <v>20.542000000000002</v>
      </c>
    </row>
    <row r="1061" spans="1:11" ht="15">
      <c r="A1061" s="10"/>
      <c r="B1061" s="67"/>
      <c r="C1061" s="67"/>
      <c r="D1061" s="67"/>
      <c r="E1061" s="68"/>
      <c r="F1061" s="68"/>
      <c r="G1061" s="68"/>
      <c r="H1061" s="68"/>
      <c r="I1061" s="68"/>
      <c r="J1061" s="68"/>
      <c r="K1061" s="68"/>
    </row>
    <row r="1062" spans="1:11" ht="15">
      <c r="A1062" s="3">
        <v>2014</v>
      </c>
      <c r="B1062" s="67">
        <f t="shared" ref="B1062:K1062" si="0">AVERAGE(B17:B28)</f>
        <v>2.4184833333333331</v>
      </c>
      <c r="C1062" s="67">
        <f t="shared" si="0"/>
        <v>2.4063500000000002</v>
      </c>
      <c r="D1062" s="67">
        <f t="shared" si="0"/>
        <v>2.4109000000000003</v>
      </c>
      <c r="E1062" s="67">
        <f t="shared" si="0"/>
        <v>3.2984333333333336</v>
      </c>
      <c r="F1062" s="67">
        <f t="shared" si="0"/>
        <v>3.4486666666666661</v>
      </c>
      <c r="G1062" s="67">
        <f t="shared" si="0"/>
        <v>3.4611000000000001</v>
      </c>
      <c r="H1062" s="67">
        <f t="shared" si="0"/>
        <v>5.4796416666666667</v>
      </c>
      <c r="I1062" s="67">
        <f t="shared" si="0"/>
        <v>5.4920583333333335</v>
      </c>
      <c r="J1062" s="67">
        <f t="shared" si="0"/>
        <v>3.2984333333333336</v>
      </c>
      <c r="K1062" s="67">
        <f t="shared" si="0"/>
        <v>3.3108416666666667</v>
      </c>
    </row>
    <row r="1063" spans="1:11" ht="15">
      <c r="A1063" s="3">
        <v>2015</v>
      </c>
      <c r="B1063" s="67">
        <f t="shared" ref="B1063:K1063" si="1">AVERAGE(B29:B40)</f>
        <v>2.5009166666666673</v>
      </c>
      <c r="C1063" s="67">
        <f t="shared" si="1"/>
        <v>2.5282416666666667</v>
      </c>
      <c r="D1063" s="67">
        <f t="shared" si="1"/>
        <v>2.5327999999999999</v>
      </c>
      <c r="E1063" s="67">
        <f t="shared" si="1"/>
        <v>3.2090166666666664</v>
      </c>
      <c r="F1063" s="67">
        <f t="shared" si="1"/>
        <v>3.254</v>
      </c>
      <c r="G1063" s="67">
        <f t="shared" si="1"/>
        <v>3.2595916666666667</v>
      </c>
      <c r="H1063" s="67">
        <f t="shared" si="1"/>
        <v>5.1183250000000005</v>
      </c>
      <c r="I1063" s="67">
        <f t="shared" si="1"/>
        <v>5.1239166666666671</v>
      </c>
      <c r="J1063" s="67">
        <f t="shared" si="1"/>
        <v>3.2090166666666664</v>
      </c>
      <c r="K1063" s="67">
        <f t="shared" si="1"/>
        <v>3.2146000000000003</v>
      </c>
    </row>
    <row r="1064" spans="1:11" ht="15">
      <c r="A1064" s="3">
        <v>2016</v>
      </c>
      <c r="B1064" s="67">
        <f t="shared" ref="B1064:K1064" si="2">AVERAGE(B41:B52)</f>
        <v>2.8711249999999997</v>
      </c>
      <c r="C1064" s="67">
        <f t="shared" si="2"/>
        <v>2.8711249999999997</v>
      </c>
      <c r="D1064" s="67">
        <f t="shared" si="2"/>
        <v>2.8756833333333334</v>
      </c>
      <c r="E1064" s="67">
        <f t="shared" si="2"/>
        <v>3.3873333333333338</v>
      </c>
      <c r="F1064" s="67">
        <f t="shared" si="2"/>
        <v>3.4460000000000002</v>
      </c>
      <c r="G1064" s="67">
        <f t="shared" si="2"/>
        <v>3.4515916666666668</v>
      </c>
      <c r="H1064" s="67">
        <f t="shared" si="2"/>
        <v>5.2477583333333326</v>
      </c>
      <c r="I1064" s="67">
        <f t="shared" si="2"/>
        <v>5.2533583333333338</v>
      </c>
      <c r="J1064" s="67">
        <f t="shared" si="2"/>
        <v>3.3873333333333338</v>
      </c>
      <c r="K1064" s="67">
        <f t="shared" si="2"/>
        <v>3.392925</v>
      </c>
    </row>
    <row r="1065" spans="1:11" ht="15">
      <c r="A1065" s="3">
        <v>2017</v>
      </c>
      <c r="B1065" s="67">
        <f t="shared" ref="B1065:K1065" si="3">AVERAGE(B53:B64)</f>
        <v>3.0028000000000001</v>
      </c>
      <c r="C1065" s="67">
        <f t="shared" si="3"/>
        <v>3.0028000000000001</v>
      </c>
      <c r="D1065" s="67">
        <f t="shared" si="3"/>
        <v>3.0073666666666665</v>
      </c>
      <c r="E1065" s="67">
        <f t="shared" si="3"/>
        <v>3.5879916666666669</v>
      </c>
      <c r="F1065" s="67">
        <f t="shared" si="3"/>
        <v>3.5879916666666669</v>
      </c>
      <c r="G1065" s="67">
        <f t="shared" si="3"/>
        <v>3.5935833333333331</v>
      </c>
      <c r="H1065" s="67">
        <f t="shared" si="3"/>
        <v>5.3804833333333333</v>
      </c>
      <c r="I1065" s="67">
        <f t="shared" si="3"/>
        <v>5.3860666666666654</v>
      </c>
      <c r="J1065" s="67">
        <f t="shared" si="3"/>
        <v>3.5879916666666669</v>
      </c>
      <c r="K1065" s="67">
        <f t="shared" si="3"/>
        <v>3.5935833333333331</v>
      </c>
    </row>
    <row r="1066" spans="1:11" ht="15">
      <c r="A1066" s="3">
        <v>2018</v>
      </c>
      <c r="B1066" s="67">
        <f t="shared" ref="B1066:K1066" si="4">AVERAGE(B65:B76)</f>
        <v>3.1109000000000004</v>
      </c>
      <c r="C1066" s="67">
        <f t="shared" si="4"/>
        <v>3.1109000000000004</v>
      </c>
      <c r="D1066" s="67">
        <f t="shared" si="4"/>
        <v>3.1154500000000005</v>
      </c>
      <c r="E1066" s="67">
        <f t="shared" si="4"/>
        <v>3.7429000000000006</v>
      </c>
      <c r="F1066" s="67">
        <f t="shared" si="4"/>
        <v>3.7429000000000006</v>
      </c>
      <c r="G1066" s="67">
        <f t="shared" si="4"/>
        <v>3.7484916666666668</v>
      </c>
      <c r="H1066" s="67">
        <f t="shared" si="4"/>
        <v>5.516541666666666</v>
      </c>
      <c r="I1066" s="67">
        <f t="shared" si="4"/>
        <v>5.522125</v>
      </c>
      <c r="J1066" s="67">
        <f t="shared" si="4"/>
        <v>3.7429000000000006</v>
      </c>
      <c r="K1066" s="67">
        <f t="shared" si="4"/>
        <v>3.7484916666666668</v>
      </c>
    </row>
    <row r="1067" spans="1:11" ht="15">
      <c r="A1067" s="3">
        <v>2019</v>
      </c>
      <c r="B1067" s="67">
        <f t="shared" ref="B1067:K1067" si="5">AVERAGE(B77:B88)</f>
        <v>3.1375166666666665</v>
      </c>
      <c r="C1067" s="67">
        <f t="shared" si="5"/>
        <v>3.1375166666666665</v>
      </c>
      <c r="D1067" s="67">
        <f t="shared" si="5"/>
        <v>3.1420666666666666</v>
      </c>
      <c r="E1067" s="67">
        <f t="shared" si="5"/>
        <v>3.8573833333333334</v>
      </c>
      <c r="F1067" s="67">
        <f t="shared" si="5"/>
        <v>3.8573833333333334</v>
      </c>
      <c r="G1067" s="67">
        <f t="shared" si="5"/>
        <v>3.862975</v>
      </c>
      <c r="H1067" s="67">
        <f t="shared" si="5"/>
        <v>5.6560333333333332</v>
      </c>
      <c r="I1067" s="67">
        <f t="shared" si="5"/>
        <v>5.6616249999999999</v>
      </c>
      <c r="J1067" s="67">
        <f t="shared" si="5"/>
        <v>3.8573833333333334</v>
      </c>
      <c r="K1067" s="67">
        <f t="shared" si="5"/>
        <v>3.862975</v>
      </c>
    </row>
    <row r="1068" spans="1:11" ht="15">
      <c r="A1068" s="3">
        <v>2020</v>
      </c>
      <c r="B1068" s="67">
        <f t="shared" ref="B1068:K1068" si="6">AVERAGE(B89:B100)</f>
        <v>3.1985999999999994</v>
      </c>
      <c r="C1068" s="67">
        <f t="shared" si="6"/>
        <v>3.1985999999999994</v>
      </c>
      <c r="D1068" s="67">
        <f t="shared" si="6"/>
        <v>3.2031416666666668</v>
      </c>
      <c r="E1068" s="67">
        <f t="shared" si="6"/>
        <v>3.7282833333333336</v>
      </c>
      <c r="F1068" s="67">
        <f t="shared" si="6"/>
        <v>3.7282833333333336</v>
      </c>
      <c r="G1068" s="67">
        <f t="shared" si="6"/>
        <v>3.7338749999999998</v>
      </c>
      <c r="H1068" s="67">
        <f t="shared" si="6"/>
        <v>5.7990833333333329</v>
      </c>
      <c r="I1068" s="67">
        <f t="shared" si="6"/>
        <v>5.8046666666666669</v>
      </c>
      <c r="J1068" s="67">
        <f t="shared" si="6"/>
        <v>3.7282833333333336</v>
      </c>
      <c r="K1068" s="67">
        <f t="shared" si="6"/>
        <v>3.7338749999999998</v>
      </c>
    </row>
    <row r="1069" spans="1:11" ht="15">
      <c r="A1069" s="3">
        <v>2021</v>
      </c>
      <c r="B1069" s="67">
        <f t="shared" ref="B1069:K1069" si="7">AVERAGE(B101:B112)</f>
        <v>3.2682833333333332</v>
      </c>
      <c r="C1069" s="67">
        <f t="shared" si="7"/>
        <v>3.2682833333333332</v>
      </c>
      <c r="D1069" s="67">
        <f t="shared" si="7"/>
        <v>3.2728333333333328</v>
      </c>
      <c r="E1069" s="67">
        <f t="shared" si="7"/>
        <v>3.7707666666666668</v>
      </c>
      <c r="F1069" s="67">
        <f t="shared" si="7"/>
        <v>3.7707666666666668</v>
      </c>
      <c r="G1069" s="67">
        <f t="shared" si="7"/>
        <v>3.7763500000000003</v>
      </c>
      <c r="H1069" s="67">
        <f t="shared" si="7"/>
        <v>5.9457166666666659</v>
      </c>
      <c r="I1069" s="67">
        <f t="shared" si="7"/>
        <v>5.951316666666667</v>
      </c>
      <c r="J1069" s="67">
        <f t="shared" si="7"/>
        <v>3.7707666666666668</v>
      </c>
      <c r="K1069" s="67">
        <f t="shared" si="7"/>
        <v>3.7763500000000003</v>
      </c>
    </row>
    <row r="1070" spans="1:11" ht="15">
      <c r="A1070" s="3">
        <v>2022</v>
      </c>
      <c r="B1070" s="67">
        <f t="shared" ref="B1070:K1070" si="8">AVERAGE(B113:B124)</f>
        <v>3.3391416666666669</v>
      </c>
      <c r="C1070" s="67">
        <f t="shared" si="8"/>
        <v>3.3391416666666669</v>
      </c>
      <c r="D1070" s="67">
        <f t="shared" si="8"/>
        <v>3.343691666666667</v>
      </c>
      <c r="E1070" s="67">
        <f t="shared" si="8"/>
        <v>3.944116666666666</v>
      </c>
      <c r="F1070" s="67">
        <f t="shared" si="8"/>
        <v>3.944116666666666</v>
      </c>
      <c r="G1070" s="67">
        <f t="shared" si="8"/>
        <v>3.9497416666666667</v>
      </c>
      <c r="H1070" s="67">
        <f t="shared" si="8"/>
        <v>6.0960833333333326</v>
      </c>
      <c r="I1070" s="67">
        <f t="shared" si="8"/>
        <v>6.1016916666666674</v>
      </c>
      <c r="J1070" s="67">
        <f t="shared" si="8"/>
        <v>3.944116666666666</v>
      </c>
      <c r="K1070" s="67">
        <f t="shared" si="8"/>
        <v>3.9497416666666667</v>
      </c>
    </row>
    <row r="1071" spans="1:11" ht="15">
      <c r="A1071" s="3">
        <v>2023</v>
      </c>
      <c r="B1071" s="67">
        <f t="shared" ref="B1071:K1071" si="9">AVERAGE(B125:B136)</f>
        <v>3.4119833333333336</v>
      </c>
      <c r="C1071" s="67">
        <f t="shared" si="9"/>
        <v>3.4119833333333336</v>
      </c>
      <c r="D1071" s="67">
        <f t="shared" si="9"/>
        <v>3.4165333333333336</v>
      </c>
      <c r="E1071" s="67">
        <f t="shared" si="9"/>
        <v>4.0709833333333334</v>
      </c>
      <c r="F1071" s="67">
        <f t="shared" si="9"/>
        <v>4.0709833333333334</v>
      </c>
      <c r="G1071" s="67">
        <f t="shared" si="9"/>
        <v>4.0765749999999992</v>
      </c>
      <c r="H1071" s="67">
        <f t="shared" si="9"/>
        <v>6.2502333333333331</v>
      </c>
      <c r="I1071" s="67">
        <f t="shared" si="9"/>
        <v>6.2558250000000015</v>
      </c>
      <c r="J1071" s="67">
        <f t="shared" si="9"/>
        <v>4.0709833333333334</v>
      </c>
      <c r="K1071" s="67">
        <f t="shared" si="9"/>
        <v>4.0765749999999992</v>
      </c>
    </row>
    <row r="1072" spans="1:11" ht="15">
      <c r="A1072" s="3">
        <v>2024</v>
      </c>
      <c r="B1072" s="67">
        <f t="shared" ref="B1072:K1072" si="10">AVERAGE(B137:B148)</f>
        <v>3.4898833333333328</v>
      </c>
      <c r="C1072" s="67">
        <f t="shared" si="10"/>
        <v>3.4898833333333328</v>
      </c>
      <c r="D1072" s="67">
        <f t="shared" si="10"/>
        <v>3.4944416666666664</v>
      </c>
      <c r="E1072" s="67">
        <f t="shared" si="10"/>
        <v>4.1558083333333329</v>
      </c>
      <c r="F1072" s="67">
        <f t="shared" si="10"/>
        <v>4.1558083333333329</v>
      </c>
      <c r="G1072" s="67">
        <f t="shared" si="10"/>
        <v>4.1613750000000005</v>
      </c>
      <c r="H1072" s="67">
        <f t="shared" si="10"/>
        <v>6.4083083333333333</v>
      </c>
      <c r="I1072" s="67">
        <f t="shared" si="10"/>
        <v>6.4139000000000008</v>
      </c>
      <c r="J1072" s="67">
        <f t="shared" si="10"/>
        <v>4.1558083333333329</v>
      </c>
      <c r="K1072" s="67">
        <f t="shared" si="10"/>
        <v>4.1613750000000005</v>
      </c>
    </row>
    <row r="1073" spans="1:11" ht="15">
      <c r="A1073" s="3">
        <v>2025</v>
      </c>
      <c r="B1073" s="67">
        <f t="shared" ref="B1073:K1073" si="11">AVERAGE(B149:B160)</f>
        <v>3.5713666666666675</v>
      </c>
      <c r="C1073" s="67">
        <f t="shared" si="11"/>
        <v>3.5713666666666675</v>
      </c>
      <c r="D1073" s="67">
        <f t="shared" si="11"/>
        <v>3.5759166666666666</v>
      </c>
      <c r="E1073" s="67">
        <f t="shared" si="11"/>
        <v>4.2415750000000001</v>
      </c>
      <c r="F1073" s="67">
        <f t="shared" si="11"/>
        <v>4.2415750000000001</v>
      </c>
      <c r="G1073" s="67">
        <f t="shared" si="11"/>
        <v>4.2471666666666668</v>
      </c>
      <c r="H1073" s="67">
        <f t="shared" si="11"/>
        <v>6.5703500000000004</v>
      </c>
      <c r="I1073" s="67">
        <f t="shared" si="11"/>
        <v>6.5759583333333325</v>
      </c>
      <c r="J1073" s="67">
        <f t="shared" si="11"/>
        <v>4.2415750000000001</v>
      </c>
      <c r="K1073" s="67">
        <f t="shared" si="11"/>
        <v>4.2471666666666668</v>
      </c>
    </row>
    <row r="1074" spans="1:11" ht="15">
      <c r="A1074" s="3">
        <v>2026</v>
      </c>
      <c r="B1074" s="67">
        <f t="shared" ref="B1074:K1074" si="12">AVERAGE(B161:B172)</f>
        <v>3.6529916666666669</v>
      </c>
      <c r="C1074" s="67">
        <f t="shared" si="12"/>
        <v>3.6529916666666669</v>
      </c>
      <c r="D1074" s="67">
        <f t="shared" si="12"/>
        <v>3.6575500000000001</v>
      </c>
      <c r="E1074" s="67">
        <f t="shared" si="12"/>
        <v>4.3426083333333336</v>
      </c>
      <c r="F1074" s="67">
        <f t="shared" si="12"/>
        <v>4.3426083333333336</v>
      </c>
      <c r="G1074" s="67">
        <f t="shared" si="12"/>
        <v>4.3481916666666667</v>
      </c>
      <c r="H1074" s="67">
        <f t="shared" si="12"/>
        <v>6.736508333333334</v>
      </c>
      <c r="I1074" s="67">
        <f t="shared" si="12"/>
        <v>6.7421000000000006</v>
      </c>
      <c r="J1074" s="67">
        <f t="shared" si="12"/>
        <v>4.3426083333333336</v>
      </c>
      <c r="K1074" s="67">
        <f t="shared" si="12"/>
        <v>4.3481916666666667</v>
      </c>
    </row>
    <row r="1075" spans="1:11" ht="15">
      <c r="A1075" s="3">
        <v>2027</v>
      </c>
      <c r="B1075" s="67">
        <f t="shared" ref="B1075:K1075" si="13">AVERAGE(B173:B184)</f>
        <v>3.7325916666666674</v>
      </c>
      <c r="C1075" s="67">
        <f t="shared" si="13"/>
        <v>3.7325916666666674</v>
      </c>
      <c r="D1075" s="67">
        <f t="shared" si="13"/>
        <v>3.7371333333333339</v>
      </c>
      <c r="E1075" s="67">
        <f t="shared" si="13"/>
        <v>4.4449999999999994</v>
      </c>
      <c r="F1075" s="67">
        <f t="shared" si="13"/>
        <v>4.4449999999999994</v>
      </c>
      <c r="G1075" s="67">
        <f t="shared" si="13"/>
        <v>4.4505916666666669</v>
      </c>
      <c r="H1075" s="67">
        <f t="shared" si="13"/>
        <v>6.9068749999999994</v>
      </c>
      <c r="I1075" s="67">
        <f t="shared" si="13"/>
        <v>6.9124583333333334</v>
      </c>
      <c r="J1075" s="67">
        <f t="shared" si="13"/>
        <v>4.4449999999999994</v>
      </c>
      <c r="K1075" s="67">
        <f t="shared" si="13"/>
        <v>4.4505916666666669</v>
      </c>
    </row>
    <row r="1076" spans="1:11" ht="15">
      <c r="A1076" s="3">
        <v>2028</v>
      </c>
      <c r="B1076" s="67">
        <f t="shared" ref="B1076:K1076" si="14">AVERAGE(B185:B196)</f>
        <v>3.8206500000000001</v>
      </c>
      <c r="C1076" s="67">
        <f t="shared" si="14"/>
        <v>3.8206500000000001</v>
      </c>
      <c r="D1076" s="67">
        <f t="shared" si="14"/>
        <v>3.8252083333333338</v>
      </c>
      <c r="E1076" s="67">
        <f t="shared" si="14"/>
        <v>4.5496749999999997</v>
      </c>
      <c r="F1076" s="67">
        <f t="shared" si="14"/>
        <v>4.5496749999999997</v>
      </c>
      <c r="G1076" s="67">
        <f t="shared" si="14"/>
        <v>4.5552583333333336</v>
      </c>
      <c r="H1076" s="67">
        <f t="shared" si="14"/>
        <v>7.0815416666666664</v>
      </c>
      <c r="I1076" s="67">
        <f t="shared" si="14"/>
        <v>7.0871083333333331</v>
      </c>
      <c r="J1076" s="67">
        <f t="shared" si="14"/>
        <v>4.5496749999999997</v>
      </c>
      <c r="K1076" s="67">
        <f t="shared" si="14"/>
        <v>4.5552583333333336</v>
      </c>
    </row>
    <row r="1077" spans="1:11" ht="15">
      <c r="A1077" s="3">
        <v>2029</v>
      </c>
      <c r="B1077" s="67">
        <f t="shared" ref="B1077:K1077" si="15">AVERAGE(B197:B208)</f>
        <v>3.9070166666666659</v>
      </c>
      <c r="C1077" s="67">
        <f t="shared" si="15"/>
        <v>3.9070166666666659</v>
      </c>
      <c r="D1077" s="67">
        <f t="shared" si="15"/>
        <v>3.9115749999999996</v>
      </c>
      <c r="E1077" s="67">
        <f t="shared" si="15"/>
        <v>4.6572416666666667</v>
      </c>
      <c r="F1077" s="67">
        <f t="shared" si="15"/>
        <v>4.6572416666666667</v>
      </c>
      <c r="G1077" s="67">
        <f t="shared" si="15"/>
        <v>4.6628250000000007</v>
      </c>
      <c r="H1077" s="67">
        <f t="shared" si="15"/>
        <v>7.2606000000000002</v>
      </c>
      <c r="I1077" s="67">
        <f t="shared" si="15"/>
        <v>7.2662000000000004</v>
      </c>
      <c r="J1077" s="67">
        <f t="shared" si="15"/>
        <v>4.6572416666666667</v>
      </c>
      <c r="K1077" s="67">
        <f t="shared" si="15"/>
        <v>4.6628250000000007</v>
      </c>
    </row>
    <row r="1078" spans="1:11" ht="15">
      <c r="A1078" s="3">
        <v>2030</v>
      </c>
      <c r="B1078" s="67">
        <f t="shared" ref="B1078:K1078" si="16">AVERAGE(B209:B220)</f>
        <v>3.998324999999999</v>
      </c>
      <c r="C1078" s="67">
        <f t="shared" si="16"/>
        <v>3.998324999999999</v>
      </c>
      <c r="D1078" s="67">
        <f t="shared" si="16"/>
        <v>4.0028833333333331</v>
      </c>
      <c r="E1078" s="67">
        <f t="shared" si="16"/>
        <v>4.7692916666666667</v>
      </c>
      <c r="F1078" s="67">
        <f t="shared" si="16"/>
        <v>4.7692916666666667</v>
      </c>
      <c r="G1078" s="67">
        <f t="shared" si="16"/>
        <v>4.7748916666666679</v>
      </c>
      <c r="H1078" s="67">
        <f t="shared" si="16"/>
        <v>7.4442250000000003</v>
      </c>
      <c r="I1078" s="67">
        <f t="shared" si="16"/>
        <v>7.4498083333333334</v>
      </c>
      <c r="J1078" s="67">
        <f t="shared" si="16"/>
        <v>4.7692916666666667</v>
      </c>
      <c r="K1078" s="67">
        <f t="shared" si="16"/>
        <v>4.7748916666666679</v>
      </c>
    </row>
    <row r="1079" spans="1:11" ht="15">
      <c r="A1079" s="3">
        <v>2031</v>
      </c>
      <c r="B1079" s="67">
        <f t="shared" ref="B1079:K1079" si="17">AVERAGE(B221:B232)</f>
        <v>4.0933833333333327</v>
      </c>
      <c r="C1079" s="67">
        <f t="shared" si="17"/>
        <v>4.0933833333333327</v>
      </c>
      <c r="D1079" s="67">
        <f t="shared" si="17"/>
        <v>4.0979166666666664</v>
      </c>
      <c r="E1079" s="67">
        <f t="shared" si="17"/>
        <v>4.915375</v>
      </c>
      <c r="F1079" s="67">
        <f t="shared" si="17"/>
        <v>4.915375</v>
      </c>
      <c r="G1079" s="67">
        <f t="shared" si="17"/>
        <v>4.9209749999999994</v>
      </c>
      <c r="H1079" s="67">
        <f t="shared" si="17"/>
        <v>7.6324666666666667</v>
      </c>
      <c r="I1079" s="67">
        <f t="shared" si="17"/>
        <v>7.638066666666667</v>
      </c>
      <c r="J1079" s="67">
        <f t="shared" si="17"/>
        <v>4.915375</v>
      </c>
      <c r="K1079" s="67">
        <f t="shared" si="17"/>
        <v>4.9209749999999994</v>
      </c>
    </row>
    <row r="1080" spans="1:11" ht="15">
      <c r="A1080" s="3">
        <v>2032</v>
      </c>
      <c r="B1080" s="67">
        <f t="shared" ref="B1080:K1080" si="18">AVERAGE(B233:B244)</f>
        <v>4.1982249999999999</v>
      </c>
      <c r="C1080" s="67">
        <f t="shared" si="18"/>
        <v>4.1982249999999999</v>
      </c>
      <c r="D1080" s="67">
        <f t="shared" si="18"/>
        <v>4.2027666666666654</v>
      </c>
      <c r="E1080" s="67">
        <f t="shared" si="18"/>
        <v>5.0666166666666665</v>
      </c>
      <c r="F1080" s="67">
        <f t="shared" si="18"/>
        <v>5.0666166666666665</v>
      </c>
      <c r="G1080" s="67">
        <f t="shared" si="18"/>
        <v>5.0722083333333332</v>
      </c>
      <c r="H1080" s="67">
        <f t="shared" si="18"/>
        <v>7.8254833333333336</v>
      </c>
      <c r="I1080" s="67">
        <f t="shared" si="18"/>
        <v>7.8310750000000011</v>
      </c>
      <c r="J1080" s="67">
        <f t="shared" si="18"/>
        <v>5.0666166666666665</v>
      </c>
      <c r="K1080" s="67">
        <f t="shared" si="18"/>
        <v>5.0722083333333332</v>
      </c>
    </row>
    <row r="1081" spans="1:11" ht="15">
      <c r="A1081" s="3">
        <v>2033</v>
      </c>
      <c r="B1081" s="67">
        <f t="shared" ref="B1081:K1081" si="19">AVERAGE(B245:B256)</f>
        <v>4.3121749999999999</v>
      </c>
      <c r="C1081" s="67">
        <f t="shared" si="19"/>
        <v>4.3121749999999999</v>
      </c>
      <c r="D1081" s="67">
        <f t="shared" si="19"/>
        <v>4.3167333333333344</v>
      </c>
      <c r="E1081" s="67">
        <f t="shared" si="19"/>
        <v>5.2221833333333327</v>
      </c>
      <c r="F1081" s="67">
        <f t="shared" si="19"/>
        <v>5.2221833333333327</v>
      </c>
      <c r="G1081" s="67">
        <f t="shared" si="19"/>
        <v>5.2277833333333339</v>
      </c>
      <c r="H1081" s="67">
        <f t="shared" si="19"/>
        <v>8.0233749999999997</v>
      </c>
      <c r="I1081" s="67">
        <f t="shared" si="19"/>
        <v>8.0289750000000009</v>
      </c>
      <c r="J1081" s="67">
        <f t="shared" si="19"/>
        <v>5.2221833333333327</v>
      </c>
      <c r="K1081" s="67">
        <f t="shared" si="19"/>
        <v>5.2277833333333339</v>
      </c>
    </row>
    <row r="1082" spans="1:11" ht="15">
      <c r="A1082" s="3">
        <v>2034</v>
      </c>
      <c r="B1082" s="67">
        <f t="shared" ref="B1082:K1082" si="20">AVERAGE(B257:B268)</f>
        <v>4.4314749999999998</v>
      </c>
      <c r="C1082" s="67">
        <f t="shared" si="20"/>
        <v>4.4314749999999998</v>
      </c>
      <c r="D1082" s="67">
        <f t="shared" si="20"/>
        <v>4.4360000000000008</v>
      </c>
      <c r="E1082" s="67">
        <f t="shared" si="20"/>
        <v>5.3829916666666664</v>
      </c>
      <c r="F1082" s="67">
        <f t="shared" si="20"/>
        <v>5.3829916666666664</v>
      </c>
      <c r="G1082" s="67">
        <f t="shared" si="20"/>
        <v>5.3885750000000003</v>
      </c>
      <c r="H1082" s="67">
        <f t="shared" si="20"/>
        <v>8.2262833333333329</v>
      </c>
      <c r="I1082" s="67">
        <f t="shared" si="20"/>
        <v>8.2318750000000005</v>
      </c>
      <c r="J1082" s="67">
        <f t="shared" si="20"/>
        <v>5.3829916666666664</v>
      </c>
      <c r="K1082" s="67">
        <f t="shared" si="20"/>
        <v>5.3885750000000003</v>
      </c>
    </row>
    <row r="1083" spans="1:11" ht="15">
      <c r="A1083" s="3">
        <v>2035</v>
      </c>
      <c r="B1083" s="67">
        <f t="shared" ref="B1083:K1083" si="21">AVERAGE(B269:B280)</f>
        <v>4.5522083333333327</v>
      </c>
      <c r="C1083" s="67">
        <f t="shared" si="21"/>
        <v>4.5522083333333327</v>
      </c>
      <c r="D1083" s="67">
        <f t="shared" si="21"/>
        <v>4.5567499999999992</v>
      </c>
      <c r="E1083" s="67">
        <f t="shared" si="21"/>
        <v>5.5499833333333326</v>
      </c>
      <c r="F1083" s="67">
        <f t="shared" si="21"/>
        <v>5.5499833333333326</v>
      </c>
      <c r="G1083" s="67">
        <f t="shared" si="21"/>
        <v>5.5555583333333329</v>
      </c>
      <c r="H1083" s="67">
        <f t="shared" si="21"/>
        <v>8.4343249999999994</v>
      </c>
      <c r="I1083" s="67">
        <f t="shared" si="21"/>
        <v>8.4398999999999997</v>
      </c>
      <c r="J1083" s="67">
        <f t="shared" si="21"/>
        <v>5.5499833333333326</v>
      </c>
      <c r="K1083" s="67">
        <f t="shared" si="21"/>
        <v>5.5555583333333329</v>
      </c>
    </row>
    <row r="1084" spans="1:11" ht="15">
      <c r="A1084" s="3">
        <v>2036</v>
      </c>
      <c r="B1084" s="67">
        <f t="shared" ref="B1084:K1084" si="22">AVERAGE(B281:B292)</f>
        <v>4.6735916666666668</v>
      </c>
      <c r="C1084" s="67">
        <f t="shared" si="22"/>
        <v>4.6735916666666668</v>
      </c>
      <c r="D1084" s="67">
        <f t="shared" si="22"/>
        <v>4.6781333333333341</v>
      </c>
      <c r="E1084" s="67">
        <f t="shared" si="22"/>
        <v>5.7116166666666652</v>
      </c>
      <c r="F1084" s="67">
        <f t="shared" si="22"/>
        <v>5.7116166666666652</v>
      </c>
      <c r="G1084" s="67">
        <f t="shared" si="22"/>
        <v>5.7171999999999992</v>
      </c>
      <c r="H1084" s="67">
        <f t="shared" si="22"/>
        <v>8.6475999999999988</v>
      </c>
      <c r="I1084" s="67">
        <f t="shared" si="22"/>
        <v>8.6531916666666664</v>
      </c>
      <c r="J1084" s="67">
        <f t="shared" si="22"/>
        <v>5.7116166666666652</v>
      </c>
      <c r="K1084" s="67">
        <f t="shared" si="22"/>
        <v>5.7171999999999992</v>
      </c>
    </row>
    <row r="1085" spans="1:11" ht="15">
      <c r="A1085" s="3">
        <v>2037</v>
      </c>
      <c r="B1085" s="67">
        <f t="shared" ref="B1085:K1085" si="23">AVERAGE(B293:B304)</f>
        <v>4.7968249999999992</v>
      </c>
      <c r="C1085" s="67">
        <f t="shared" si="23"/>
        <v>4.7968249999999992</v>
      </c>
      <c r="D1085" s="67">
        <f t="shared" si="23"/>
        <v>4.801358333333333</v>
      </c>
      <c r="E1085" s="67">
        <f t="shared" si="23"/>
        <v>5.8677333333333328</v>
      </c>
      <c r="F1085" s="67">
        <f t="shared" si="23"/>
        <v>5.8677333333333328</v>
      </c>
      <c r="G1085" s="67">
        <f t="shared" si="23"/>
        <v>5.8733166666666667</v>
      </c>
      <c r="H1085" s="67">
        <f t="shared" si="23"/>
        <v>8.8662833333333335</v>
      </c>
      <c r="I1085" s="67">
        <f t="shared" si="23"/>
        <v>8.8718749999999975</v>
      </c>
      <c r="J1085" s="67">
        <f t="shared" si="23"/>
        <v>5.8677333333333328</v>
      </c>
      <c r="K1085" s="67">
        <f t="shared" si="23"/>
        <v>5.8733166666666667</v>
      </c>
    </row>
    <row r="1086" spans="1:11" ht="15">
      <c r="A1086" s="3">
        <v>2038</v>
      </c>
      <c r="B1086" s="67">
        <f t="shared" ref="B1086:K1086" si="24">AVERAGE(B305:B316)</f>
        <v>4.9241666666666664</v>
      </c>
      <c r="C1086" s="67">
        <f t="shared" si="24"/>
        <v>4.9241666666666664</v>
      </c>
      <c r="D1086" s="67">
        <f t="shared" si="24"/>
        <v>4.928725</v>
      </c>
      <c r="E1086" s="67">
        <f t="shared" si="24"/>
        <v>6.0242416666666658</v>
      </c>
      <c r="F1086" s="67">
        <f t="shared" si="24"/>
        <v>6.0242416666666658</v>
      </c>
      <c r="G1086" s="67">
        <f t="shared" si="24"/>
        <v>6.029841666666667</v>
      </c>
      <c r="H1086" s="67">
        <f t="shared" si="24"/>
        <v>9.0904916666666669</v>
      </c>
      <c r="I1086" s="67">
        <f t="shared" si="24"/>
        <v>9.0961083333333335</v>
      </c>
      <c r="J1086" s="67">
        <f t="shared" si="24"/>
        <v>6.0242416666666658</v>
      </c>
      <c r="K1086" s="67">
        <f t="shared" si="24"/>
        <v>6.029841666666667</v>
      </c>
    </row>
    <row r="1087" spans="1:11" ht="15">
      <c r="A1087" s="3">
        <v>2039</v>
      </c>
      <c r="B1087" s="67">
        <f t="shared" ref="B1087:K1087" si="25">AVERAGE(B317:B328)</f>
        <v>5.0543916666666666</v>
      </c>
      <c r="C1087" s="67">
        <f t="shared" si="25"/>
        <v>5.0543916666666666</v>
      </c>
      <c r="D1087" s="67">
        <f t="shared" si="25"/>
        <v>5.0589333333333331</v>
      </c>
      <c r="E1087" s="67">
        <f t="shared" si="25"/>
        <v>6.1721166666666667</v>
      </c>
      <c r="F1087" s="67">
        <f t="shared" si="25"/>
        <v>6.1721166666666667</v>
      </c>
      <c r="G1087" s="67">
        <f t="shared" si="25"/>
        <v>6.1777000000000006</v>
      </c>
      <c r="H1087" s="67">
        <f t="shared" si="25"/>
        <v>9.3203999999999994</v>
      </c>
      <c r="I1087" s="67">
        <f t="shared" si="25"/>
        <v>9.3259749999999997</v>
      </c>
      <c r="J1087" s="67">
        <f t="shared" si="25"/>
        <v>6.1721166666666667</v>
      </c>
      <c r="K1087" s="67">
        <f t="shared" si="25"/>
        <v>6.1777000000000006</v>
      </c>
    </row>
    <row r="1088" spans="1:11" ht="15">
      <c r="A1088" s="3">
        <v>2040</v>
      </c>
      <c r="B1088" s="67">
        <f t="shared" ref="B1088:K1088" si="26">AVERAGE(B329:B340)</f>
        <v>5.1875999999999998</v>
      </c>
      <c r="C1088" s="67">
        <f t="shared" si="26"/>
        <v>5.1875999999999998</v>
      </c>
      <c r="D1088" s="67">
        <f t="shared" si="26"/>
        <v>5.1921333333333335</v>
      </c>
      <c r="E1088" s="67">
        <f t="shared" si="26"/>
        <v>6.3228333333333326</v>
      </c>
      <c r="F1088" s="67">
        <f t="shared" si="26"/>
        <v>6.3228333333333326</v>
      </c>
      <c r="G1088" s="67">
        <f t="shared" si="26"/>
        <v>6.3284333333333329</v>
      </c>
      <c r="H1088" s="67">
        <f t="shared" si="26"/>
        <v>9.5560916666666653</v>
      </c>
      <c r="I1088" s="67">
        <f t="shared" si="26"/>
        <v>9.5616749999999993</v>
      </c>
      <c r="J1088" s="67">
        <f t="shared" si="26"/>
        <v>6.3228333333333326</v>
      </c>
      <c r="K1088" s="67">
        <f t="shared" si="26"/>
        <v>6.3284333333333329</v>
      </c>
    </row>
    <row r="1089" spans="1:11" ht="15">
      <c r="A1089" s="3">
        <v>2041</v>
      </c>
      <c r="B1089" s="67">
        <f t="shared" ref="B1089:K1089" si="27">AVERAGE(B341:B352)</f>
        <v>5.324349999999999</v>
      </c>
      <c r="C1089" s="67">
        <f t="shared" si="27"/>
        <v>5.324349999999999</v>
      </c>
      <c r="D1089" s="67">
        <f t="shared" si="27"/>
        <v>5.3288916666666672</v>
      </c>
      <c r="E1089" s="67">
        <f t="shared" si="27"/>
        <v>6.4772500000000006</v>
      </c>
      <c r="F1089" s="67">
        <f t="shared" si="27"/>
        <v>6.4772500000000006</v>
      </c>
      <c r="G1089" s="67">
        <f t="shared" si="27"/>
        <v>6.4828583333333327</v>
      </c>
      <c r="H1089" s="67">
        <f t="shared" si="27"/>
        <v>9.7977500000000006</v>
      </c>
      <c r="I1089" s="67">
        <f t="shared" si="27"/>
        <v>9.8033333333333346</v>
      </c>
      <c r="J1089" s="67">
        <f t="shared" si="27"/>
        <v>6.4772500000000006</v>
      </c>
      <c r="K1089" s="67">
        <f t="shared" si="27"/>
        <v>6.4828583333333327</v>
      </c>
    </row>
    <row r="1090" spans="1:11" ht="15">
      <c r="A1090" s="3">
        <v>2042</v>
      </c>
      <c r="B1090" s="67">
        <f t="shared" ref="B1090:K1090" si="28">AVERAGE(B353:B364)</f>
        <v>5.4647166666666651</v>
      </c>
      <c r="C1090" s="67">
        <f t="shared" si="28"/>
        <v>5.4647166666666651</v>
      </c>
      <c r="D1090" s="67">
        <f t="shared" si="28"/>
        <v>5.4692583333333333</v>
      </c>
      <c r="E1090" s="67">
        <f t="shared" si="28"/>
        <v>6.6354583333333323</v>
      </c>
      <c r="F1090" s="67">
        <f t="shared" si="28"/>
        <v>6.6354583333333323</v>
      </c>
      <c r="G1090" s="67">
        <f t="shared" si="28"/>
        <v>6.6410583333333335</v>
      </c>
      <c r="H1090" s="67">
        <f t="shared" si="28"/>
        <v>10.045516666666666</v>
      </c>
      <c r="I1090" s="67">
        <f t="shared" si="28"/>
        <v>10.051108333333334</v>
      </c>
      <c r="J1090" s="67">
        <f t="shared" si="28"/>
        <v>6.6354583333333323</v>
      </c>
      <c r="K1090" s="67">
        <f t="shared" si="28"/>
        <v>6.6410583333333335</v>
      </c>
    </row>
    <row r="1091" spans="1:11" ht="15">
      <c r="A1091" s="3">
        <v>2043</v>
      </c>
      <c r="B1091" s="67">
        <f t="shared" ref="B1091:K1091" si="29">AVERAGE(B365:B376)</f>
        <v>5.6088500000000003</v>
      </c>
      <c r="C1091" s="67">
        <f t="shared" si="29"/>
        <v>5.6088500000000003</v>
      </c>
      <c r="D1091" s="67">
        <f t="shared" si="29"/>
        <v>5.6133749999999987</v>
      </c>
      <c r="E1091" s="67">
        <f t="shared" si="29"/>
        <v>6.7975583333333347</v>
      </c>
      <c r="F1091" s="67">
        <f t="shared" si="29"/>
        <v>6.7975583333333347</v>
      </c>
      <c r="G1091" s="67">
        <f t="shared" si="29"/>
        <v>6.8031333333333324</v>
      </c>
      <c r="H1091" s="67">
        <f t="shared" si="29"/>
        <v>10.299558333333335</v>
      </c>
      <c r="I1091" s="67">
        <f t="shared" si="29"/>
        <v>10.305116666666667</v>
      </c>
      <c r="J1091" s="67">
        <f t="shared" si="29"/>
        <v>6.7975583333333347</v>
      </c>
      <c r="K1091" s="67">
        <f t="shared" si="29"/>
        <v>6.8031333333333324</v>
      </c>
    </row>
    <row r="1092" spans="1:11" ht="15">
      <c r="A1092" s="3">
        <v>2044</v>
      </c>
      <c r="B1092" s="67">
        <f t="shared" ref="B1092:K1092" si="30">AVERAGE(B377:B388)</f>
        <v>5.7567750000000011</v>
      </c>
      <c r="C1092" s="67">
        <f t="shared" si="30"/>
        <v>5.7567750000000011</v>
      </c>
      <c r="D1092" s="67">
        <f t="shared" si="30"/>
        <v>5.761308333333333</v>
      </c>
      <c r="E1092" s="67">
        <f t="shared" si="30"/>
        <v>6.9636083333333332</v>
      </c>
      <c r="F1092" s="67">
        <f t="shared" si="30"/>
        <v>6.9636083333333332</v>
      </c>
      <c r="G1092" s="67">
        <f t="shared" si="30"/>
        <v>6.9691916666666662</v>
      </c>
      <c r="H1092" s="67">
        <f t="shared" si="30"/>
        <v>10.560008333333334</v>
      </c>
      <c r="I1092" s="67">
        <f t="shared" si="30"/>
        <v>10.565616666666667</v>
      </c>
      <c r="J1092" s="67">
        <f t="shared" si="30"/>
        <v>6.9636083333333332</v>
      </c>
      <c r="K1092" s="67">
        <f t="shared" si="30"/>
        <v>6.9691916666666662</v>
      </c>
    </row>
    <row r="1093" spans="1:11" ht="15">
      <c r="A1093" s="3">
        <v>2045</v>
      </c>
      <c r="B1093" s="67">
        <f t="shared" ref="B1093:K1093" si="31">AVERAGE(B389:B400)</f>
        <v>5.9086583333333325</v>
      </c>
      <c r="C1093" s="67">
        <f t="shared" si="31"/>
        <v>5.9086583333333325</v>
      </c>
      <c r="D1093" s="67">
        <f t="shared" si="31"/>
        <v>5.9132249999999997</v>
      </c>
      <c r="E1093" s="67">
        <f t="shared" si="31"/>
        <v>7.13375</v>
      </c>
      <c r="F1093" s="67">
        <f t="shared" si="31"/>
        <v>7.13375</v>
      </c>
      <c r="G1093" s="67">
        <f t="shared" si="31"/>
        <v>7.1393416666666676</v>
      </c>
      <c r="H1093" s="67">
        <f t="shared" si="31"/>
        <v>10.827050000000002</v>
      </c>
      <c r="I1093" s="67">
        <f t="shared" si="31"/>
        <v>10.832658333333335</v>
      </c>
      <c r="J1093" s="67">
        <f t="shared" si="31"/>
        <v>7.13375</v>
      </c>
      <c r="K1093" s="67">
        <f t="shared" si="31"/>
        <v>7.1393416666666676</v>
      </c>
    </row>
    <row r="1094" spans="1:11" ht="15">
      <c r="A1094" s="3">
        <v>2046</v>
      </c>
      <c r="B1094" s="67">
        <f t="shared" ref="B1094:K1094" si="32">AVERAGE(B401:B412)</f>
        <v>6.0645833333333341</v>
      </c>
      <c r="C1094" s="67">
        <f t="shared" si="32"/>
        <v>6.0645833333333341</v>
      </c>
      <c r="D1094" s="67">
        <f t="shared" si="32"/>
        <v>6.0691416666666669</v>
      </c>
      <c r="E1094" s="67">
        <f t="shared" si="32"/>
        <v>7.308083333333335</v>
      </c>
      <c r="F1094" s="67">
        <f t="shared" si="32"/>
        <v>7.308083333333335</v>
      </c>
      <c r="G1094" s="67">
        <f t="shared" si="32"/>
        <v>7.3136583333333336</v>
      </c>
      <c r="H1094" s="67">
        <f t="shared" si="32"/>
        <v>11.100858333333335</v>
      </c>
      <c r="I1094" s="67">
        <f t="shared" si="32"/>
        <v>11.106449999999997</v>
      </c>
      <c r="J1094" s="67">
        <f t="shared" si="32"/>
        <v>7.308083333333335</v>
      </c>
      <c r="K1094" s="67">
        <f t="shared" si="32"/>
        <v>7.3136583333333336</v>
      </c>
    </row>
    <row r="1095" spans="1:11" ht="15">
      <c r="A1095" s="3">
        <v>2047</v>
      </c>
      <c r="B1095" s="67">
        <f t="shared" ref="B1095:K1095" si="33">AVERAGE(B413:B424)</f>
        <v>6.2246583333333332</v>
      </c>
      <c r="C1095" s="67">
        <f t="shared" si="33"/>
        <v>6.2246583333333332</v>
      </c>
      <c r="D1095" s="67">
        <f t="shared" si="33"/>
        <v>6.2292249999999996</v>
      </c>
      <c r="E1095" s="67">
        <f t="shared" si="33"/>
        <v>7.4866750000000009</v>
      </c>
      <c r="F1095" s="67">
        <f t="shared" si="33"/>
        <v>7.4866750000000009</v>
      </c>
      <c r="G1095" s="67">
        <f t="shared" si="33"/>
        <v>7.492233333333334</v>
      </c>
      <c r="H1095" s="67">
        <f t="shared" si="33"/>
        <v>11.381583333333333</v>
      </c>
      <c r="I1095" s="67">
        <f t="shared" si="33"/>
        <v>11.387174999999999</v>
      </c>
      <c r="J1095" s="67">
        <f t="shared" si="33"/>
        <v>7.4866750000000009</v>
      </c>
      <c r="K1095" s="67">
        <f t="shared" si="33"/>
        <v>7.492233333333334</v>
      </c>
    </row>
    <row r="1096" spans="1:11" ht="15">
      <c r="A1096" s="3">
        <v>2048</v>
      </c>
      <c r="B1096" s="67">
        <f t="shared" ref="B1096:K1096" si="34">AVERAGE(B425:B436)</f>
        <v>6.3890083333333338</v>
      </c>
      <c r="C1096" s="67">
        <f t="shared" si="34"/>
        <v>6.3890083333333338</v>
      </c>
      <c r="D1096" s="67">
        <f t="shared" si="34"/>
        <v>6.3935500000000003</v>
      </c>
      <c r="E1096" s="67">
        <f t="shared" si="34"/>
        <v>7.6696083333333327</v>
      </c>
      <c r="F1096" s="67">
        <f t="shared" si="34"/>
        <v>7.6696083333333327</v>
      </c>
      <c r="G1096" s="67">
        <f t="shared" si="34"/>
        <v>7.6752250000000002</v>
      </c>
      <c r="H1096" s="67">
        <f t="shared" si="34"/>
        <v>11.669391666666669</v>
      </c>
      <c r="I1096" s="67">
        <f t="shared" si="34"/>
        <v>11.675000000000002</v>
      </c>
      <c r="J1096" s="67">
        <f t="shared" si="34"/>
        <v>7.6696083333333327</v>
      </c>
      <c r="K1096" s="67">
        <f t="shared" si="34"/>
        <v>7.6752250000000002</v>
      </c>
    </row>
    <row r="1097" spans="1:11" ht="15">
      <c r="A1097" s="3">
        <v>2049</v>
      </c>
      <c r="B1097" s="67">
        <f t="shared" ref="B1097:K1097" si="35">AVERAGE(B437:B448)</f>
        <v>6.5577333333333323</v>
      </c>
      <c r="C1097" s="67">
        <f t="shared" si="35"/>
        <v>6.5577333333333323</v>
      </c>
      <c r="D1097" s="67">
        <f t="shared" si="35"/>
        <v>6.5622916666666669</v>
      </c>
      <c r="E1097" s="67">
        <f t="shared" si="35"/>
        <v>7.8570916666666655</v>
      </c>
      <c r="F1097" s="67">
        <f t="shared" si="35"/>
        <v>7.8570916666666655</v>
      </c>
      <c r="G1097" s="67">
        <f t="shared" si="35"/>
        <v>7.8626833333333339</v>
      </c>
      <c r="H1097" s="67">
        <f t="shared" si="35"/>
        <v>11.964516666666666</v>
      </c>
      <c r="I1097" s="67">
        <f t="shared" si="35"/>
        <v>11.970075</v>
      </c>
      <c r="J1097" s="67">
        <f t="shared" si="35"/>
        <v>7.8570916666666655</v>
      </c>
      <c r="K1097" s="67">
        <f t="shared" si="35"/>
        <v>7.8626833333333339</v>
      </c>
    </row>
    <row r="1098" spans="1:11" ht="15">
      <c r="A1098" s="3">
        <v>2050</v>
      </c>
      <c r="B1098" s="67">
        <f t="shared" ref="B1098:K1098" si="36">AVERAGE(B449:B460)</f>
        <v>6.7309499999999991</v>
      </c>
      <c r="C1098" s="67">
        <f t="shared" si="36"/>
        <v>6.7309499999999991</v>
      </c>
      <c r="D1098" s="67">
        <f t="shared" si="36"/>
        <v>6.7354999999999992</v>
      </c>
      <c r="E1098" s="67">
        <f t="shared" si="36"/>
        <v>8.0491666666666681</v>
      </c>
      <c r="F1098" s="67">
        <f t="shared" si="36"/>
        <v>8.0491666666666681</v>
      </c>
      <c r="G1098" s="67">
        <f t="shared" si="36"/>
        <v>8.0547500000000003</v>
      </c>
      <c r="H1098" s="67">
        <f t="shared" si="36"/>
        <v>12.267058333333333</v>
      </c>
      <c r="I1098" s="67">
        <f t="shared" si="36"/>
        <v>12.272658333333334</v>
      </c>
      <c r="J1098" s="67">
        <f t="shared" si="36"/>
        <v>8.0491666666666681</v>
      </c>
      <c r="K1098" s="67">
        <f t="shared" si="36"/>
        <v>8.0547500000000003</v>
      </c>
    </row>
    <row r="1099" spans="1:11" ht="15">
      <c r="A1099" s="3">
        <v>2051</v>
      </c>
      <c r="B1099" s="67">
        <f t="shared" ref="B1099:K1099" si="37">AVERAGE(B461:B472)</f>
        <v>6.9087916666666667</v>
      </c>
      <c r="C1099" s="67">
        <f t="shared" si="37"/>
        <v>6.9087916666666667</v>
      </c>
      <c r="D1099" s="67">
        <f t="shared" si="37"/>
        <v>6.9133500000000003</v>
      </c>
      <c r="E1099" s="67">
        <f t="shared" si="37"/>
        <v>8.2459583333333324</v>
      </c>
      <c r="F1099" s="67">
        <f t="shared" si="37"/>
        <v>8.2459583333333324</v>
      </c>
      <c r="G1099" s="67">
        <f t="shared" si="37"/>
        <v>8.2515249999999991</v>
      </c>
      <c r="H1099" s="67">
        <f t="shared" si="37"/>
        <v>12.577291666666666</v>
      </c>
      <c r="I1099" s="67">
        <f t="shared" si="37"/>
        <v>12.582875</v>
      </c>
      <c r="J1099" s="67">
        <f t="shared" si="37"/>
        <v>8.2459583333333324</v>
      </c>
      <c r="K1099" s="67">
        <f t="shared" si="37"/>
        <v>8.2515249999999991</v>
      </c>
    </row>
    <row r="1100" spans="1:11" ht="15">
      <c r="A1100" s="3">
        <v>2052</v>
      </c>
      <c r="B1100" s="67">
        <f t="shared" ref="B1100:K1100" si="38">AVERAGE(B473:B484)</f>
        <v>7.0913833333333329</v>
      </c>
      <c r="C1100" s="67">
        <f t="shared" si="38"/>
        <v>7.0913833333333329</v>
      </c>
      <c r="D1100" s="67">
        <f t="shared" si="38"/>
        <v>7.0959250000000003</v>
      </c>
      <c r="E1100" s="67">
        <f t="shared" si="38"/>
        <v>8.4475583333333333</v>
      </c>
      <c r="F1100" s="67">
        <f t="shared" si="38"/>
        <v>8.4475583333333333</v>
      </c>
      <c r="G1100" s="67">
        <f t="shared" si="38"/>
        <v>8.4531583333333327</v>
      </c>
      <c r="H1100" s="67">
        <f t="shared" si="38"/>
        <v>12.895333333333333</v>
      </c>
      <c r="I1100" s="67">
        <f t="shared" si="38"/>
        <v>12.900933333333333</v>
      </c>
      <c r="J1100" s="67">
        <f t="shared" si="38"/>
        <v>8.4475583333333333</v>
      </c>
      <c r="K1100" s="67">
        <f t="shared" si="38"/>
        <v>8.4531583333333327</v>
      </c>
    </row>
    <row r="1101" spans="1:11" ht="15">
      <c r="A1101" s="3">
        <v>2053</v>
      </c>
      <c r="B1101" s="67">
        <f t="shared" ref="B1101:K1101" si="39">AVERAGE(B485:B496)</f>
        <v>7.2788166666666667</v>
      </c>
      <c r="C1101" s="67">
        <f t="shared" si="39"/>
        <v>7.2788166666666667</v>
      </c>
      <c r="D1101" s="67">
        <f t="shared" si="39"/>
        <v>7.2833499999999995</v>
      </c>
      <c r="E1101" s="67">
        <f t="shared" si="39"/>
        <v>8.6541250000000005</v>
      </c>
      <c r="F1101" s="67">
        <f t="shared" si="39"/>
        <v>8.6541250000000005</v>
      </c>
      <c r="G1101" s="67">
        <f t="shared" si="39"/>
        <v>8.6597249999999999</v>
      </c>
      <c r="H1101" s="67">
        <f t="shared" si="39"/>
        <v>13.221449999999999</v>
      </c>
      <c r="I1101" s="67">
        <f t="shared" si="39"/>
        <v>13.227033333333333</v>
      </c>
      <c r="J1101" s="67">
        <f t="shared" si="39"/>
        <v>8.6541250000000005</v>
      </c>
      <c r="K1101" s="67">
        <f t="shared" si="39"/>
        <v>8.6597249999999999</v>
      </c>
    </row>
    <row r="1102" spans="1:11" ht="15">
      <c r="A1102" s="3">
        <v>2054</v>
      </c>
      <c r="B1102" s="67">
        <f t="shared" ref="B1102:K1102" si="40">AVERAGE(B497:B508)</f>
        <v>7.4712500000000004</v>
      </c>
      <c r="C1102" s="67">
        <f t="shared" si="40"/>
        <v>7.4712500000000004</v>
      </c>
      <c r="D1102" s="67">
        <f t="shared" si="40"/>
        <v>7.4758000000000004</v>
      </c>
      <c r="E1102" s="67">
        <f t="shared" si="40"/>
        <v>8.8657833333333329</v>
      </c>
      <c r="F1102" s="67">
        <f t="shared" si="40"/>
        <v>8.8657833333333329</v>
      </c>
      <c r="G1102" s="67">
        <f t="shared" si="40"/>
        <v>8.8713666666666668</v>
      </c>
      <c r="H1102" s="67">
        <f t="shared" si="40"/>
        <v>13.555799999999998</v>
      </c>
      <c r="I1102" s="67">
        <f t="shared" si="40"/>
        <v>13.561391666666667</v>
      </c>
      <c r="J1102" s="67">
        <f t="shared" si="40"/>
        <v>8.8657833333333329</v>
      </c>
      <c r="K1102" s="67">
        <f t="shared" si="40"/>
        <v>8.8713666666666668</v>
      </c>
    </row>
    <row r="1103" spans="1:11" ht="15">
      <c r="A1103" s="3">
        <v>2055</v>
      </c>
      <c r="B1103" s="67">
        <f t="shared" ref="B1103:K1103" si="41">AVERAGE(B17:B520)</f>
        <v>4.7406188492063492</v>
      </c>
      <c r="C1103" s="67">
        <f t="shared" si="41"/>
        <v>4.7409805555555558</v>
      </c>
      <c r="D1103" s="67">
        <f t="shared" si="41"/>
        <v>4.7455287698412718</v>
      </c>
      <c r="E1103" s="67">
        <f t="shared" si="41"/>
        <v>5.7063898809523801</v>
      </c>
      <c r="F1103" s="67">
        <f t="shared" si="41"/>
        <v>5.7124347222222216</v>
      </c>
      <c r="G1103" s="67">
        <f t="shared" si="41"/>
        <v>5.7181876984127014</v>
      </c>
      <c r="H1103" s="67">
        <f t="shared" si="41"/>
        <v>8.7281634920634907</v>
      </c>
      <c r="I1103" s="67">
        <f t="shared" si="41"/>
        <v>8.7339168650793724</v>
      </c>
      <c r="J1103" s="67">
        <f t="shared" si="41"/>
        <v>5.7063898809523801</v>
      </c>
      <c r="K1103" s="67">
        <f t="shared" si="41"/>
        <v>5.7121420634920677</v>
      </c>
    </row>
    <row r="1104" spans="1:11" ht="15">
      <c r="A1104" s="3">
        <v>2056</v>
      </c>
      <c r="B1104" s="67">
        <f t="shared" ref="B1104:K1104" si="42">AVERAGE(B521:B532)</f>
        <v>7.8716833333333343</v>
      </c>
      <c r="C1104" s="67">
        <f t="shared" si="42"/>
        <v>7.8716833333333343</v>
      </c>
      <c r="D1104" s="67">
        <f t="shared" si="42"/>
        <v>7.8762333333333316</v>
      </c>
      <c r="E1104" s="67">
        <f t="shared" si="42"/>
        <v>9.3047749999999994</v>
      </c>
      <c r="F1104" s="67">
        <f t="shared" si="42"/>
        <v>9.3047749999999994</v>
      </c>
      <c r="G1104" s="67">
        <f t="shared" si="42"/>
        <v>9.3103750000000005</v>
      </c>
      <c r="H1104" s="67">
        <f t="shared" si="42"/>
        <v>14.250083333333334</v>
      </c>
      <c r="I1104" s="67">
        <f t="shared" si="42"/>
        <v>14.255666666666668</v>
      </c>
      <c r="J1104" s="67">
        <f t="shared" si="42"/>
        <v>9.3047749999999994</v>
      </c>
      <c r="K1104" s="67">
        <f t="shared" si="42"/>
        <v>9.3103750000000005</v>
      </c>
    </row>
    <row r="1105" spans="1:11" ht="15">
      <c r="A1105" s="3">
        <v>2057</v>
      </c>
      <c r="B1105" s="67">
        <f t="shared" ref="B1105:K1105" si="43">AVERAGE(B533:B544)</f>
        <v>8.079958333333332</v>
      </c>
      <c r="C1105" s="67">
        <f t="shared" si="43"/>
        <v>8.079958333333332</v>
      </c>
      <c r="D1105" s="67">
        <f t="shared" si="43"/>
        <v>8.0845083333333321</v>
      </c>
      <c r="E1105" s="67">
        <f t="shared" si="43"/>
        <v>9.5323916666666673</v>
      </c>
      <c r="F1105" s="67">
        <f t="shared" si="43"/>
        <v>9.5323916666666673</v>
      </c>
      <c r="G1105" s="67">
        <f t="shared" si="43"/>
        <v>9.5379999999999985</v>
      </c>
      <c r="H1105" s="67">
        <f t="shared" si="43"/>
        <v>14.610441666666667</v>
      </c>
      <c r="I1105" s="67">
        <f t="shared" si="43"/>
        <v>14.616016666666665</v>
      </c>
      <c r="J1105" s="67">
        <f t="shared" si="43"/>
        <v>9.5323916666666673</v>
      </c>
      <c r="K1105" s="67">
        <f t="shared" si="43"/>
        <v>9.5379999999999985</v>
      </c>
    </row>
    <row r="1106" spans="1:11" ht="15">
      <c r="A1106" s="3">
        <v>2058</v>
      </c>
      <c r="B1106" s="67">
        <f t="shared" ref="B1106:K1106" si="44">AVERAGE(B545:B556)</f>
        <v>8.2937916666666691</v>
      </c>
      <c r="C1106" s="67">
        <f t="shared" si="44"/>
        <v>8.2937916666666691</v>
      </c>
      <c r="D1106" s="67">
        <f t="shared" si="44"/>
        <v>8.2983333333333338</v>
      </c>
      <c r="E1106" s="67">
        <f t="shared" si="44"/>
        <v>9.7656249999999982</v>
      </c>
      <c r="F1106" s="67">
        <f t="shared" si="44"/>
        <v>9.7656249999999982</v>
      </c>
      <c r="G1106" s="67">
        <f t="shared" si="44"/>
        <v>9.7712166666666658</v>
      </c>
      <c r="H1106" s="67">
        <f t="shared" si="44"/>
        <v>14.979908333333332</v>
      </c>
      <c r="I1106" s="67">
        <f t="shared" si="44"/>
        <v>14.985508333333334</v>
      </c>
      <c r="J1106" s="67">
        <f t="shared" si="44"/>
        <v>9.7656249999999982</v>
      </c>
      <c r="K1106" s="67">
        <f t="shared" si="44"/>
        <v>9.7712166666666658</v>
      </c>
    </row>
    <row r="1107" spans="1:11" ht="15">
      <c r="A1107" s="3">
        <v>2059</v>
      </c>
      <c r="B1107" s="67">
        <f t="shared" ref="B1107:K1107" si="45">AVERAGE(B557:B568)</f>
        <v>8.513325</v>
      </c>
      <c r="C1107" s="67">
        <f t="shared" si="45"/>
        <v>8.513325</v>
      </c>
      <c r="D1107" s="67">
        <f t="shared" si="45"/>
        <v>8.5178666666666683</v>
      </c>
      <c r="E1107" s="67">
        <f t="shared" si="45"/>
        <v>10.004574999999999</v>
      </c>
      <c r="F1107" s="67">
        <f t="shared" si="45"/>
        <v>10.004574999999999</v>
      </c>
      <c r="G1107" s="67">
        <f t="shared" si="45"/>
        <v>10.010166666666667</v>
      </c>
      <c r="H1107" s="67">
        <f t="shared" si="45"/>
        <v>15.358733333333333</v>
      </c>
      <c r="I1107" s="67">
        <f t="shared" si="45"/>
        <v>15.364316666666667</v>
      </c>
      <c r="J1107" s="67">
        <f t="shared" si="45"/>
        <v>10.004574999999999</v>
      </c>
      <c r="K1107" s="67">
        <f t="shared" si="45"/>
        <v>10.010166666666667</v>
      </c>
    </row>
    <row r="1108" spans="1:11" ht="15">
      <c r="A1108" s="3">
        <v>2060</v>
      </c>
      <c r="B1108" s="67">
        <f t="shared" ref="B1108:K1108" si="46">AVERAGE(B569:B580)</f>
        <v>8.738741666666666</v>
      </c>
      <c r="C1108" s="67">
        <f t="shared" si="46"/>
        <v>8.738741666666666</v>
      </c>
      <c r="D1108" s="67">
        <f t="shared" si="46"/>
        <v>8.7432749999999988</v>
      </c>
      <c r="E1108" s="67">
        <f t="shared" si="46"/>
        <v>10.249391666666666</v>
      </c>
      <c r="F1108" s="67">
        <f t="shared" si="46"/>
        <v>10.249391666666666</v>
      </c>
      <c r="G1108" s="67">
        <f t="shared" si="46"/>
        <v>10.254983333333334</v>
      </c>
      <c r="H1108" s="67">
        <f t="shared" si="46"/>
        <v>15.747116666666665</v>
      </c>
      <c r="I1108" s="67">
        <f t="shared" si="46"/>
        <v>15.752733333333333</v>
      </c>
      <c r="J1108" s="67">
        <f t="shared" si="46"/>
        <v>10.249391666666666</v>
      </c>
      <c r="K1108" s="67">
        <f t="shared" si="46"/>
        <v>10.254983333333334</v>
      </c>
    </row>
    <row r="1109" spans="1:11" ht="15">
      <c r="A1109" s="3">
        <v>2061</v>
      </c>
      <c r="B1109" s="67">
        <f t="shared" ref="B1109:K1109" si="47">AVERAGE(B581:B592)</f>
        <v>8.9701666666666657</v>
      </c>
      <c r="C1109" s="67">
        <f t="shared" si="47"/>
        <v>8.9701666666666657</v>
      </c>
      <c r="D1109" s="67">
        <f t="shared" si="47"/>
        <v>8.9747083333333322</v>
      </c>
      <c r="E1109" s="67">
        <f t="shared" si="47"/>
        <v>10.500225000000002</v>
      </c>
      <c r="F1109" s="67">
        <f t="shared" si="47"/>
        <v>10.500225000000002</v>
      </c>
      <c r="G1109" s="67">
        <f t="shared" si="47"/>
        <v>10.505825</v>
      </c>
      <c r="H1109" s="67">
        <f t="shared" si="47"/>
        <v>16.145350000000001</v>
      </c>
      <c r="I1109" s="67">
        <f t="shared" si="47"/>
        <v>16.150949999999998</v>
      </c>
      <c r="J1109" s="67">
        <f t="shared" si="47"/>
        <v>10.500225000000002</v>
      </c>
      <c r="K1109" s="67">
        <f t="shared" si="47"/>
        <v>10.505825</v>
      </c>
    </row>
    <row r="1110" spans="1:11" ht="15">
      <c r="A1110" s="3">
        <v>2062</v>
      </c>
      <c r="B1110" s="67">
        <f t="shared" ref="B1110:K1119" ca="1" si="48">AVERAGE(OFFSET(B$593,($A1110-$A$1110)*12,0,12,1))</f>
        <v>9.2077833333333352</v>
      </c>
      <c r="C1110" s="67">
        <f t="shared" ca="1" si="48"/>
        <v>9.2077833333333352</v>
      </c>
      <c r="D1110" s="67">
        <f t="shared" ca="1" si="48"/>
        <v>9.2123250000000017</v>
      </c>
      <c r="E1110" s="67">
        <f t="shared" ca="1" si="48"/>
        <v>10.757233333333332</v>
      </c>
      <c r="F1110" s="67">
        <f t="shared" ca="1" si="48"/>
        <v>10.757233333333332</v>
      </c>
      <c r="G1110" s="67">
        <f t="shared" ca="1" si="48"/>
        <v>10.762841666666667</v>
      </c>
      <c r="H1110" s="67">
        <f t="shared" ca="1" si="48"/>
        <v>16.553641666666667</v>
      </c>
      <c r="I1110" s="67">
        <f t="shared" ca="1" si="48"/>
        <v>16.559225000000001</v>
      </c>
      <c r="J1110" s="67">
        <f t="shared" ca="1" si="48"/>
        <v>10.757233333333332</v>
      </c>
      <c r="K1110" s="67">
        <f t="shared" ca="1" si="48"/>
        <v>10.762841666666667</v>
      </c>
    </row>
    <row r="1111" spans="1:11" ht="15">
      <c r="A1111" s="3">
        <v>2063</v>
      </c>
      <c r="B1111" s="67">
        <f t="shared" ca="1" si="48"/>
        <v>9.4453666666666667</v>
      </c>
      <c r="C1111" s="67">
        <f t="shared" ca="1" si="48"/>
        <v>9.4453666666666667</v>
      </c>
      <c r="D1111" s="67">
        <f t="shared" ca="1" si="48"/>
        <v>9.4499333333333322</v>
      </c>
      <c r="E1111" s="67">
        <f t="shared" ca="1" si="48"/>
        <v>11.014258333333332</v>
      </c>
      <c r="F1111" s="67">
        <f t="shared" ca="1" si="48"/>
        <v>11.014258333333332</v>
      </c>
      <c r="G1111" s="67">
        <f t="shared" ca="1" si="48"/>
        <v>11.01985</v>
      </c>
      <c r="H1111" s="67">
        <f t="shared" ca="1" si="48"/>
        <v>16.961949999999998</v>
      </c>
      <c r="I1111" s="67">
        <f t="shared" ca="1" si="48"/>
        <v>16.967533333333336</v>
      </c>
      <c r="J1111" s="67">
        <f t="shared" ca="1" si="48"/>
        <v>11.014258333333332</v>
      </c>
      <c r="K1111" s="67">
        <f t="shared" ca="1" si="48"/>
        <v>11.01985</v>
      </c>
    </row>
    <row r="1112" spans="1:11" ht="15">
      <c r="A1112" s="3">
        <v>2064</v>
      </c>
      <c r="B1112" s="67">
        <f t="shared" ca="1" si="48"/>
        <v>9.6830083333333334</v>
      </c>
      <c r="C1112" s="67">
        <f t="shared" ca="1" si="48"/>
        <v>9.6830083333333334</v>
      </c>
      <c r="D1112" s="67">
        <f t="shared" ca="1" si="48"/>
        <v>9.6875666666666671</v>
      </c>
      <c r="E1112" s="67">
        <f t="shared" ca="1" si="48"/>
        <v>11.271266666666667</v>
      </c>
      <c r="F1112" s="67">
        <f t="shared" ca="1" si="48"/>
        <v>11.271266666666667</v>
      </c>
      <c r="G1112" s="67">
        <f t="shared" ca="1" si="48"/>
        <v>11.276858333333335</v>
      </c>
      <c r="H1112" s="67">
        <f t="shared" ca="1" si="48"/>
        <v>17.370225000000001</v>
      </c>
      <c r="I1112" s="67">
        <f t="shared" ca="1" si="48"/>
        <v>17.375808333333332</v>
      </c>
      <c r="J1112" s="67">
        <f t="shared" ca="1" si="48"/>
        <v>11.271266666666667</v>
      </c>
      <c r="K1112" s="67">
        <f t="shared" ca="1" si="48"/>
        <v>11.276858333333335</v>
      </c>
    </row>
    <row r="1113" spans="1:11" ht="15">
      <c r="A1113" s="3">
        <v>2065</v>
      </c>
      <c r="B1113" s="67">
        <f t="shared" ca="1" si="48"/>
        <v>9.9206166666666658</v>
      </c>
      <c r="C1113" s="67">
        <f t="shared" ca="1" si="48"/>
        <v>9.9206166666666658</v>
      </c>
      <c r="D1113" s="67">
        <f t="shared" ca="1" si="48"/>
        <v>9.9251749999999976</v>
      </c>
      <c r="E1113" s="67">
        <f t="shared" ca="1" si="48"/>
        <v>11.528291666666666</v>
      </c>
      <c r="F1113" s="67">
        <f t="shared" ca="1" si="48"/>
        <v>11.528291666666666</v>
      </c>
      <c r="G1113" s="67">
        <f t="shared" ca="1" si="48"/>
        <v>11.533875</v>
      </c>
      <c r="H1113" s="67">
        <f t="shared" ca="1" si="48"/>
        <v>17.778499999999998</v>
      </c>
      <c r="I1113" s="67">
        <f t="shared" ca="1" si="48"/>
        <v>17.784108333333332</v>
      </c>
      <c r="J1113" s="67">
        <f t="shared" ca="1" si="48"/>
        <v>11.528291666666666</v>
      </c>
      <c r="K1113" s="67">
        <f t="shared" ca="1" si="48"/>
        <v>11.533875</v>
      </c>
    </row>
    <row r="1114" spans="1:11" ht="15">
      <c r="A1114" s="3">
        <v>2066</v>
      </c>
      <c r="B1114" s="67">
        <f t="shared" ca="1" si="48"/>
        <v>10.158233333333335</v>
      </c>
      <c r="C1114" s="67">
        <f t="shared" ca="1" si="48"/>
        <v>10.158233333333335</v>
      </c>
      <c r="D1114" s="67">
        <f t="shared" ca="1" si="48"/>
        <v>10.162775000000002</v>
      </c>
      <c r="E1114" s="67">
        <f t="shared" ca="1" si="48"/>
        <v>11.785283333333332</v>
      </c>
      <c r="F1114" s="67">
        <f t="shared" ca="1" si="48"/>
        <v>11.785283333333332</v>
      </c>
      <c r="G1114" s="67">
        <f t="shared" ca="1" si="48"/>
        <v>11.790866666666668</v>
      </c>
      <c r="H1114" s="67">
        <f t="shared" ca="1" si="48"/>
        <v>18.186816666666669</v>
      </c>
      <c r="I1114" s="67">
        <f t="shared" ca="1" si="48"/>
        <v>18.192391666666666</v>
      </c>
      <c r="J1114" s="67">
        <f t="shared" ca="1" si="48"/>
        <v>11.785283333333332</v>
      </c>
      <c r="K1114" s="67">
        <f t="shared" ca="1" si="48"/>
        <v>11.790866666666668</v>
      </c>
    </row>
    <row r="1115" spans="1:11" ht="15">
      <c r="A1115" s="3">
        <v>2067</v>
      </c>
      <c r="B1115" s="67">
        <f t="shared" ca="1" si="48"/>
        <v>10.395849999999998</v>
      </c>
      <c r="C1115" s="67">
        <f t="shared" ca="1" si="48"/>
        <v>10.395849999999998</v>
      </c>
      <c r="D1115" s="67">
        <f t="shared" ca="1" si="48"/>
        <v>10.400399999999999</v>
      </c>
      <c r="E1115" s="67">
        <f t="shared" ca="1" si="48"/>
        <v>12.042299999999999</v>
      </c>
      <c r="F1115" s="67">
        <f t="shared" ca="1" si="48"/>
        <v>12.042299999999999</v>
      </c>
      <c r="G1115" s="67">
        <f t="shared" ca="1" si="48"/>
        <v>12.047883333333331</v>
      </c>
      <c r="H1115" s="67">
        <f t="shared" ca="1" si="48"/>
        <v>18.595116666666666</v>
      </c>
      <c r="I1115" s="67">
        <f t="shared" ca="1" si="48"/>
        <v>18.600683333333333</v>
      </c>
      <c r="J1115" s="67">
        <f t="shared" ca="1" si="48"/>
        <v>12.042299999999999</v>
      </c>
      <c r="K1115" s="67">
        <f t="shared" ca="1" si="48"/>
        <v>12.047883333333331</v>
      </c>
    </row>
    <row r="1116" spans="1:11" ht="15">
      <c r="A1116" s="3">
        <v>2068</v>
      </c>
      <c r="B1116" s="67">
        <f t="shared" ca="1" si="48"/>
        <v>10.633449999999998</v>
      </c>
      <c r="C1116" s="67">
        <f t="shared" ca="1" si="48"/>
        <v>10.633449999999998</v>
      </c>
      <c r="D1116" s="67">
        <f t="shared" ca="1" si="48"/>
        <v>10.638</v>
      </c>
      <c r="E1116" s="67">
        <f t="shared" ca="1" si="48"/>
        <v>12.299291666666669</v>
      </c>
      <c r="F1116" s="67">
        <f t="shared" ca="1" si="48"/>
        <v>12.299291666666669</v>
      </c>
      <c r="G1116" s="67">
        <f t="shared" ca="1" si="48"/>
        <v>12.304916666666665</v>
      </c>
      <c r="H1116" s="67">
        <f t="shared" ca="1" si="48"/>
        <v>19.003391666666669</v>
      </c>
      <c r="I1116" s="67">
        <f t="shared" ca="1" si="48"/>
        <v>19.008983333333337</v>
      </c>
      <c r="J1116" s="67">
        <f t="shared" ca="1" si="48"/>
        <v>12.299291666666669</v>
      </c>
      <c r="K1116" s="67">
        <f t="shared" ca="1" si="48"/>
        <v>12.304916666666665</v>
      </c>
    </row>
    <row r="1117" spans="1:11" ht="15">
      <c r="A1117" s="3">
        <v>2069</v>
      </c>
      <c r="B1117" s="67">
        <f t="shared" ca="1" si="48"/>
        <v>10.871066666666664</v>
      </c>
      <c r="C1117" s="67">
        <f t="shared" ca="1" si="48"/>
        <v>10.871066666666664</v>
      </c>
      <c r="D1117" s="67">
        <f t="shared" ca="1" si="48"/>
        <v>10.875624999999999</v>
      </c>
      <c r="E1117" s="67">
        <f t="shared" ca="1" si="48"/>
        <v>12.556333333333333</v>
      </c>
      <c r="F1117" s="67">
        <f t="shared" ca="1" si="48"/>
        <v>12.556333333333333</v>
      </c>
      <c r="G1117" s="67">
        <f t="shared" ca="1" si="48"/>
        <v>12.5619</v>
      </c>
      <c r="H1117" s="67">
        <f t="shared" ca="1" si="48"/>
        <v>19.411675000000006</v>
      </c>
      <c r="I1117" s="67">
        <f t="shared" ca="1" si="48"/>
        <v>19.417266666666666</v>
      </c>
      <c r="J1117" s="67">
        <f t="shared" ca="1" si="48"/>
        <v>12.556333333333333</v>
      </c>
      <c r="K1117" s="67">
        <f t="shared" ca="1" si="48"/>
        <v>12.5619</v>
      </c>
    </row>
    <row r="1118" spans="1:11" ht="15">
      <c r="A1118" s="3">
        <v>2070</v>
      </c>
      <c r="B1118" s="67">
        <f t="shared" ca="1" si="48"/>
        <v>11.108683333333333</v>
      </c>
      <c r="C1118" s="67">
        <f t="shared" ca="1" si="48"/>
        <v>11.108683333333333</v>
      </c>
      <c r="D1118" s="67">
        <f t="shared" ca="1" si="48"/>
        <v>11.113241666666667</v>
      </c>
      <c r="E1118" s="67">
        <f t="shared" ca="1" si="48"/>
        <v>12.813333333333333</v>
      </c>
      <c r="F1118" s="67">
        <f t="shared" ca="1" si="48"/>
        <v>12.813333333333333</v>
      </c>
      <c r="G1118" s="67">
        <f t="shared" ca="1" si="48"/>
        <v>12.818916666666667</v>
      </c>
      <c r="H1118" s="67">
        <f t="shared" ca="1" si="48"/>
        <v>19.819958333333332</v>
      </c>
      <c r="I1118" s="67">
        <f t="shared" ca="1" si="48"/>
        <v>19.825566666666667</v>
      </c>
      <c r="J1118" s="67">
        <f t="shared" ca="1" si="48"/>
        <v>12.813333333333333</v>
      </c>
      <c r="K1118" s="67">
        <f t="shared" ca="1" si="48"/>
        <v>12.818916666666667</v>
      </c>
    </row>
    <row r="1119" spans="1:11" ht="15">
      <c r="A1119" s="3">
        <v>2071</v>
      </c>
      <c r="B1119" s="67">
        <f t="shared" ca="1" si="48"/>
        <v>11.346308333333333</v>
      </c>
      <c r="C1119" s="67">
        <f t="shared" ca="1" si="48"/>
        <v>11.346308333333333</v>
      </c>
      <c r="D1119" s="67">
        <f t="shared" ca="1" si="48"/>
        <v>11.350849999999999</v>
      </c>
      <c r="E1119" s="67">
        <f t="shared" ca="1" si="48"/>
        <v>13.070333333333332</v>
      </c>
      <c r="F1119" s="67">
        <f t="shared" ca="1" si="48"/>
        <v>13.070333333333332</v>
      </c>
      <c r="G1119" s="67">
        <f t="shared" ca="1" si="48"/>
        <v>13.075924999999998</v>
      </c>
      <c r="H1119" s="67">
        <f t="shared" ca="1" si="48"/>
        <v>20.228266666666666</v>
      </c>
      <c r="I1119" s="67">
        <f t="shared" ca="1" si="48"/>
        <v>20.233841666666667</v>
      </c>
      <c r="J1119" s="67">
        <f t="shared" ca="1" si="48"/>
        <v>13.070333333333332</v>
      </c>
      <c r="K1119" s="67">
        <f t="shared" ca="1" si="48"/>
        <v>13.075924999999998</v>
      </c>
    </row>
    <row r="1120" spans="1:11" ht="15">
      <c r="A1120" s="3">
        <v>2072</v>
      </c>
      <c r="B1120" s="67">
        <f t="shared" ref="B1120:K1129" ca="1" si="49">AVERAGE(OFFSET(B$593,($A1120-$A$1110)*12,0,12,1))</f>
        <v>11.583908333333333</v>
      </c>
      <c r="C1120" s="67">
        <f t="shared" ca="1" si="49"/>
        <v>11.583908333333333</v>
      </c>
      <c r="D1120" s="67">
        <f t="shared" ca="1" si="49"/>
        <v>11.588458333333335</v>
      </c>
      <c r="E1120" s="67">
        <f t="shared" ca="1" si="49"/>
        <v>13.327350000000001</v>
      </c>
      <c r="F1120" s="67">
        <f t="shared" ca="1" si="49"/>
        <v>13.327350000000001</v>
      </c>
      <c r="G1120" s="67">
        <f t="shared" ca="1" si="49"/>
        <v>13.332949999999999</v>
      </c>
      <c r="H1120" s="67">
        <f t="shared" ca="1" si="49"/>
        <v>20.63655833333333</v>
      </c>
      <c r="I1120" s="67">
        <f t="shared" ca="1" si="49"/>
        <v>20.642141666666667</v>
      </c>
      <c r="J1120" s="67">
        <f t="shared" ca="1" si="49"/>
        <v>13.327350000000001</v>
      </c>
      <c r="K1120" s="67">
        <f t="shared" ca="1" si="49"/>
        <v>13.332949999999999</v>
      </c>
    </row>
    <row r="1121" spans="1:11" ht="15">
      <c r="A1121" s="3">
        <v>2073</v>
      </c>
      <c r="B1121" s="67">
        <f t="shared" ca="1" si="49"/>
        <v>11.821525000000001</v>
      </c>
      <c r="C1121" s="67">
        <f t="shared" ca="1" si="49"/>
        <v>11.821525000000001</v>
      </c>
      <c r="D1121" s="67">
        <f t="shared" ca="1" si="49"/>
        <v>11.826083333333335</v>
      </c>
      <c r="E1121" s="67">
        <f t="shared" ca="1" si="49"/>
        <v>13.584366666666666</v>
      </c>
      <c r="F1121" s="67">
        <f t="shared" ca="1" si="49"/>
        <v>13.584366666666666</v>
      </c>
      <c r="G1121" s="67">
        <f t="shared" ca="1" si="49"/>
        <v>13.58995</v>
      </c>
      <c r="H1121" s="67">
        <f t="shared" ca="1" si="49"/>
        <v>21.044841666666667</v>
      </c>
      <c r="I1121" s="67">
        <f t="shared" ca="1" si="49"/>
        <v>21.050425000000001</v>
      </c>
      <c r="J1121" s="67">
        <f t="shared" ca="1" si="49"/>
        <v>13.584366666666666</v>
      </c>
      <c r="K1121" s="67">
        <f t="shared" ca="1" si="49"/>
        <v>13.58995</v>
      </c>
    </row>
    <row r="1122" spans="1:11" ht="15">
      <c r="A1122" s="3">
        <v>2074</v>
      </c>
      <c r="B1122" s="67">
        <f t="shared" ca="1" si="49"/>
        <v>12.059150000000001</v>
      </c>
      <c r="C1122" s="67">
        <f t="shared" ca="1" si="49"/>
        <v>12.059150000000001</v>
      </c>
      <c r="D1122" s="67">
        <f t="shared" ca="1" si="49"/>
        <v>12.063683333333332</v>
      </c>
      <c r="E1122" s="67">
        <f t="shared" ca="1" si="49"/>
        <v>13.841366666666666</v>
      </c>
      <c r="F1122" s="67">
        <f t="shared" ca="1" si="49"/>
        <v>13.841366666666666</v>
      </c>
      <c r="G1122" s="67">
        <f t="shared" ca="1" si="49"/>
        <v>13.84695</v>
      </c>
      <c r="H1122" s="67">
        <f t="shared" ca="1" si="49"/>
        <v>21.45313333333333</v>
      </c>
      <c r="I1122" s="67">
        <f t="shared" ca="1" si="49"/>
        <v>21.458733333333331</v>
      </c>
      <c r="J1122" s="67">
        <f t="shared" ca="1" si="49"/>
        <v>13.841366666666666</v>
      </c>
      <c r="K1122" s="67">
        <f t="shared" ca="1" si="49"/>
        <v>13.84695</v>
      </c>
    </row>
    <row r="1123" spans="1:11" ht="15">
      <c r="A1123" s="3">
        <v>2075</v>
      </c>
      <c r="B1123" s="67">
        <f t="shared" ca="1" si="49"/>
        <v>12.296750000000001</v>
      </c>
      <c r="C1123" s="67">
        <f t="shared" ca="1" si="49"/>
        <v>12.296750000000001</v>
      </c>
      <c r="D1123" s="67">
        <f t="shared" ca="1" si="49"/>
        <v>12.301299999999999</v>
      </c>
      <c r="E1123" s="67">
        <f t="shared" ca="1" si="49"/>
        <v>14.098391666666664</v>
      </c>
      <c r="F1123" s="67">
        <f t="shared" ca="1" si="49"/>
        <v>14.098391666666664</v>
      </c>
      <c r="G1123" s="67">
        <f t="shared" ca="1" si="49"/>
        <v>14.103974999999998</v>
      </c>
      <c r="H1123" s="67">
        <f t="shared" ca="1" si="49"/>
        <v>21.861425000000001</v>
      </c>
      <c r="I1123" s="67">
        <f t="shared" ca="1" si="49"/>
        <v>21.867016666666668</v>
      </c>
      <c r="J1123" s="67">
        <f t="shared" ca="1" si="49"/>
        <v>14.098391666666664</v>
      </c>
      <c r="K1123" s="67">
        <f t="shared" ca="1" si="49"/>
        <v>14.103974999999998</v>
      </c>
    </row>
    <row r="1124" spans="1:11" ht="15">
      <c r="A1124" s="3">
        <v>2076</v>
      </c>
      <c r="B1124" s="67">
        <f t="shared" ca="1" si="49"/>
        <v>12.534383333333331</v>
      </c>
      <c r="C1124" s="67">
        <f t="shared" ca="1" si="49"/>
        <v>12.534383333333331</v>
      </c>
      <c r="D1124" s="67">
        <f t="shared" ca="1" si="49"/>
        <v>12.538924999999999</v>
      </c>
      <c r="E1124" s="67">
        <f t="shared" ca="1" si="49"/>
        <v>14.355391666666668</v>
      </c>
      <c r="F1124" s="67">
        <f t="shared" ca="1" si="49"/>
        <v>14.355391666666668</v>
      </c>
      <c r="G1124" s="67">
        <f t="shared" ca="1" si="49"/>
        <v>14.360966666666668</v>
      </c>
      <c r="H1124" s="67">
        <f t="shared" ca="1" si="49"/>
        <v>22.269716666666667</v>
      </c>
      <c r="I1124" s="67">
        <f t="shared" ca="1" si="49"/>
        <v>22.275300000000001</v>
      </c>
      <c r="J1124" s="67">
        <f t="shared" ca="1" si="49"/>
        <v>14.355391666666668</v>
      </c>
      <c r="K1124" s="67">
        <f t="shared" ca="1" si="49"/>
        <v>14.360966666666668</v>
      </c>
    </row>
    <row r="1125" spans="1:11" ht="15">
      <c r="A1125" s="3">
        <v>2077</v>
      </c>
      <c r="B1125" s="67">
        <f t="shared" ca="1" si="49"/>
        <v>12.771983333333333</v>
      </c>
      <c r="C1125" s="67">
        <f t="shared" ca="1" si="49"/>
        <v>12.771983333333333</v>
      </c>
      <c r="D1125" s="67">
        <f t="shared" ca="1" si="49"/>
        <v>12.776533333333335</v>
      </c>
      <c r="E1125" s="67">
        <f t="shared" ca="1" si="49"/>
        <v>14.612399999999999</v>
      </c>
      <c r="F1125" s="67">
        <f t="shared" ca="1" si="49"/>
        <v>14.612399999999999</v>
      </c>
      <c r="G1125" s="67">
        <f t="shared" ca="1" si="49"/>
        <v>14.617983333333333</v>
      </c>
      <c r="H1125" s="67">
        <f t="shared" ca="1" si="49"/>
        <v>22.67798333333333</v>
      </c>
      <c r="I1125" s="67">
        <f t="shared" ca="1" si="49"/>
        <v>22.683616666666666</v>
      </c>
      <c r="J1125" s="67">
        <f t="shared" ca="1" si="49"/>
        <v>14.612399999999999</v>
      </c>
      <c r="K1125" s="67">
        <f t="shared" ca="1" si="49"/>
        <v>14.617983333333333</v>
      </c>
    </row>
    <row r="1126" spans="1:11" ht="15">
      <c r="A1126" s="3">
        <v>2078</v>
      </c>
      <c r="B1126" s="67">
        <f t="shared" ca="1" si="49"/>
        <v>13.009583333333333</v>
      </c>
      <c r="C1126" s="67">
        <f t="shared" ca="1" si="49"/>
        <v>13.009583333333333</v>
      </c>
      <c r="D1126" s="67">
        <f t="shared" ca="1" si="49"/>
        <v>13.014149999999999</v>
      </c>
      <c r="E1126" s="67">
        <f t="shared" ca="1" si="49"/>
        <v>14.869391666666665</v>
      </c>
      <c r="F1126" s="67">
        <f t="shared" ca="1" si="49"/>
        <v>14.869391666666665</v>
      </c>
      <c r="G1126" s="67">
        <f t="shared" ca="1" si="49"/>
        <v>14.875016666666669</v>
      </c>
      <c r="H1126" s="67">
        <f t="shared" ca="1" si="49"/>
        <v>23.086299999999998</v>
      </c>
      <c r="I1126" s="67">
        <f t="shared" ca="1" si="49"/>
        <v>23.091883333333332</v>
      </c>
      <c r="J1126" s="67">
        <f t="shared" ca="1" si="49"/>
        <v>14.869391666666665</v>
      </c>
      <c r="K1126" s="67">
        <f t="shared" ca="1" si="49"/>
        <v>14.875016666666669</v>
      </c>
    </row>
    <row r="1127" spans="1:11" ht="15">
      <c r="A1127" s="3">
        <v>2079</v>
      </c>
      <c r="B1127" s="67">
        <f t="shared" ca="1" si="49"/>
        <v>13.247225000000002</v>
      </c>
      <c r="C1127" s="67">
        <f t="shared" ca="1" si="49"/>
        <v>13.247225000000002</v>
      </c>
      <c r="D1127" s="67">
        <f t="shared" ca="1" si="49"/>
        <v>13.251758333333333</v>
      </c>
      <c r="E1127" s="67">
        <f t="shared" ca="1" si="49"/>
        <v>15.126424999999999</v>
      </c>
      <c r="F1127" s="67">
        <f t="shared" ca="1" si="49"/>
        <v>15.126424999999999</v>
      </c>
      <c r="G1127" s="67">
        <f t="shared" ca="1" si="49"/>
        <v>15.132</v>
      </c>
      <c r="H1127" s="67">
        <f t="shared" ca="1" si="49"/>
        <v>23.494575000000001</v>
      </c>
      <c r="I1127" s="67">
        <f t="shared" ca="1" si="49"/>
        <v>23.500183333333336</v>
      </c>
      <c r="J1127" s="67">
        <f t="shared" ca="1" si="49"/>
        <v>15.126424999999999</v>
      </c>
      <c r="K1127" s="67">
        <f t="shared" ca="1" si="49"/>
        <v>15.132</v>
      </c>
    </row>
    <row r="1128" spans="1:11" ht="15">
      <c r="A1128" s="3">
        <v>2080</v>
      </c>
      <c r="B1128" s="67">
        <f t="shared" ca="1" si="49"/>
        <v>13.484824999999995</v>
      </c>
      <c r="C1128" s="67">
        <f t="shared" ca="1" si="49"/>
        <v>13.484824999999995</v>
      </c>
      <c r="D1128" s="67">
        <f t="shared" ca="1" si="49"/>
        <v>13.489375000000001</v>
      </c>
      <c r="E1128" s="67">
        <f t="shared" ca="1" si="49"/>
        <v>15.383441666666668</v>
      </c>
      <c r="F1128" s="67">
        <f t="shared" ca="1" si="49"/>
        <v>15.383441666666668</v>
      </c>
      <c r="G1128" s="67">
        <f t="shared" ca="1" si="49"/>
        <v>15.389024999999998</v>
      </c>
      <c r="H1128" s="67">
        <f t="shared" ca="1" si="49"/>
        <v>23.902874999999998</v>
      </c>
      <c r="I1128" s="67">
        <f t="shared" ca="1" si="49"/>
        <v>23.908466666666666</v>
      </c>
      <c r="J1128" s="67">
        <f t="shared" ca="1" si="49"/>
        <v>15.383441666666668</v>
      </c>
      <c r="K1128" s="67">
        <f t="shared" ca="1" si="49"/>
        <v>15.389024999999998</v>
      </c>
    </row>
    <row r="1129" spans="1:11" ht="15">
      <c r="A1129" s="3">
        <v>2081</v>
      </c>
      <c r="B1129" s="67">
        <f t="shared" ca="1" si="49"/>
        <v>13.72245</v>
      </c>
      <c r="C1129" s="67">
        <f t="shared" ca="1" si="49"/>
        <v>13.72245</v>
      </c>
      <c r="D1129" s="67">
        <f t="shared" ca="1" si="49"/>
        <v>13.726991666666668</v>
      </c>
      <c r="E1129" s="67">
        <f t="shared" ca="1" si="49"/>
        <v>15.640424999999999</v>
      </c>
      <c r="F1129" s="67">
        <f t="shared" ca="1" si="49"/>
        <v>15.640424999999999</v>
      </c>
      <c r="G1129" s="67">
        <f t="shared" ca="1" si="49"/>
        <v>15.646033333333333</v>
      </c>
      <c r="H1129" s="67">
        <f t="shared" ca="1" si="49"/>
        <v>24.311191666666669</v>
      </c>
      <c r="I1129" s="67">
        <f t="shared" ca="1" si="49"/>
        <v>24.316766666666666</v>
      </c>
      <c r="J1129" s="67">
        <f t="shared" ca="1" si="49"/>
        <v>15.640424999999999</v>
      </c>
      <c r="K1129" s="67">
        <f t="shared" ca="1" si="49"/>
        <v>15.646033333333333</v>
      </c>
    </row>
    <row r="1130" spans="1:11" ht="15">
      <c r="A1130" s="3">
        <v>2082</v>
      </c>
      <c r="B1130" s="67">
        <f t="shared" ref="B1130:K1139" ca="1" si="50">AVERAGE(OFFSET(B$593,($A1130-$A$1110)*12,0,12,1))</f>
        <v>13.960058333333334</v>
      </c>
      <c r="C1130" s="67">
        <f t="shared" ca="1" si="50"/>
        <v>13.960058333333334</v>
      </c>
      <c r="D1130" s="67">
        <f t="shared" ca="1" si="50"/>
        <v>13.964599999999999</v>
      </c>
      <c r="E1130" s="67">
        <f t="shared" ca="1" si="50"/>
        <v>15.897450000000001</v>
      </c>
      <c r="F1130" s="67">
        <f t="shared" ca="1" si="50"/>
        <v>15.897450000000001</v>
      </c>
      <c r="G1130" s="67">
        <f t="shared" ca="1" si="50"/>
        <v>15.903033333333331</v>
      </c>
      <c r="H1130" s="67">
        <f t="shared" ca="1" si="50"/>
        <v>24.719458333333332</v>
      </c>
      <c r="I1130" s="67">
        <f t="shared" ca="1" si="50"/>
        <v>24.725058333333337</v>
      </c>
      <c r="J1130" s="67">
        <f t="shared" ca="1" si="50"/>
        <v>15.897450000000001</v>
      </c>
      <c r="K1130" s="67">
        <f t="shared" ca="1" si="50"/>
        <v>15.903033333333331</v>
      </c>
    </row>
    <row r="1131" spans="1:11" ht="15">
      <c r="A1131" s="3">
        <v>2083</v>
      </c>
      <c r="B1131" s="67">
        <f t="shared" ca="1" si="50"/>
        <v>14.197650000000001</v>
      </c>
      <c r="C1131" s="67">
        <f t="shared" ca="1" si="50"/>
        <v>14.197650000000001</v>
      </c>
      <c r="D1131" s="67">
        <f t="shared" ca="1" si="50"/>
        <v>14.202216666666667</v>
      </c>
      <c r="E1131" s="67">
        <f t="shared" ca="1" si="50"/>
        <v>16.154466666666668</v>
      </c>
      <c r="F1131" s="67">
        <f t="shared" ca="1" si="50"/>
        <v>16.154466666666668</v>
      </c>
      <c r="G1131" s="67">
        <f t="shared" ca="1" si="50"/>
        <v>16.160049999999995</v>
      </c>
      <c r="H1131" s="67">
        <f t="shared" ca="1" si="50"/>
        <v>25.127758333333333</v>
      </c>
      <c r="I1131" s="67">
        <f t="shared" ca="1" si="50"/>
        <v>25.133333333333336</v>
      </c>
      <c r="J1131" s="67">
        <f t="shared" ca="1" si="50"/>
        <v>16.154466666666668</v>
      </c>
      <c r="K1131" s="67">
        <f t="shared" ca="1" si="50"/>
        <v>16.160049999999995</v>
      </c>
    </row>
    <row r="1132" spans="1:11" ht="15">
      <c r="A1132" s="3">
        <v>2084</v>
      </c>
      <c r="B1132" s="67">
        <f t="shared" ca="1" si="50"/>
        <v>14.435274999999997</v>
      </c>
      <c r="C1132" s="67">
        <f t="shared" ca="1" si="50"/>
        <v>14.435274999999997</v>
      </c>
      <c r="D1132" s="67">
        <f t="shared" ca="1" si="50"/>
        <v>14.439824999999999</v>
      </c>
      <c r="E1132" s="67">
        <f t="shared" ca="1" si="50"/>
        <v>16.411466666666669</v>
      </c>
      <c r="F1132" s="67">
        <f t="shared" ca="1" si="50"/>
        <v>16.411466666666669</v>
      </c>
      <c r="G1132" s="67">
        <f t="shared" ca="1" si="50"/>
        <v>16.41705</v>
      </c>
      <c r="H1132" s="67">
        <f t="shared" ca="1" si="50"/>
        <v>25.53606666666667</v>
      </c>
      <c r="I1132" s="67">
        <f t="shared" ca="1" si="50"/>
        <v>25.541616666666666</v>
      </c>
      <c r="J1132" s="67">
        <f t="shared" ca="1" si="50"/>
        <v>16.411466666666669</v>
      </c>
      <c r="K1132" s="67">
        <f t="shared" ca="1" si="50"/>
        <v>16.41705</v>
      </c>
    </row>
    <row r="1133" spans="1:11" ht="15">
      <c r="A1133" s="3">
        <v>2085</v>
      </c>
      <c r="B1133" s="67">
        <f t="shared" ca="1" si="50"/>
        <v>14.672899999999998</v>
      </c>
      <c r="C1133" s="67">
        <f t="shared" ca="1" si="50"/>
        <v>14.672899999999998</v>
      </c>
      <c r="D1133" s="67">
        <f t="shared" ca="1" si="50"/>
        <v>14.677441666666668</v>
      </c>
      <c r="E1133" s="67">
        <f t="shared" ca="1" si="50"/>
        <v>16.668466666666667</v>
      </c>
      <c r="F1133" s="67">
        <f t="shared" ca="1" si="50"/>
        <v>16.668466666666667</v>
      </c>
      <c r="G1133" s="67">
        <f t="shared" ca="1" si="50"/>
        <v>16.674083333333336</v>
      </c>
      <c r="H1133" s="67">
        <f t="shared" ca="1" si="50"/>
        <v>25.944333333333333</v>
      </c>
      <c r="I1133" s="67">
        <f t="shared" ca="1" si="50"/>
        <v>25.94990833333333</v>
      </c>
      <c r="J1133" s="67">
        <f t="shared" ca="1" si="50"/>
        <v>16.668466666666667</v>
      </c>
      <c r="K1133" s="67">
        <f t="shared" ca="1" si="50"/>
        <v>16.674083333333336</v>
      </c>
    </row>
    <row r="1134" spans="1:11" ht="15">
      <c r="A1134" s="3">
        <v>2086</v>
      </c>
      <c r="B1134" s="67">
        <f t="shared" ca="1" si="50"/>
        <v>14.910500000000004</v>
      </c>
      <c r="C1134" s="67">
        <f t="shared" ca="1" si="50"/>
        <v>14.910500000000004</v>
      </c>
      <c r="D1134" s="67">
        <f t="shared" ca="1" si="50"/>
        <v>14.915049999999999</v>
      </c>
      <c r="E1134" s="67">
        <f t="shared" ca="1" si="50"/>
        <v>16.925483333333336</v>
      </c>
      <c r="F1134" s="67">
        <f t="shared" ca="1" si="50"/>
        <v>16.925483333333336</v>
      </c>
      <c r="G1134" s="67">
        <f t="shared" ca="1" si="50"/>
        <v>16.931083333333337</v>
      </c>
      <c r="H1134" s="67">
        <f t="shared" ca="1" si="50"/>
        <v>26.352616666666663</v>
      </c>
      <c r="I1134" s="67">
        <f t="shared" ca="1" si="50"/>
        <v>26.358225000000001</v>
      </c>
      <c r="J1134" s="67">
        <f t="shared" ca="1" si="50"/>
        <v>16.925483333333336</v>
      </c>
      <c r="K1134" s="67">
        <f t="shared" ca="1" si="50"/>
        <v>16.931083333333337</v>
      </c>
    </row>
    <row r="1135" spans="1:11" ht="15">
      <c r="A1135" s="3">
        <v>2087</v>
      </c>
      <c r="B1135" s="67">
        <f t="shared" ca="1" si="50"/>
        <v>15.148116666666667</v>
      </c>
      <c r="C1135" s="67">
        <f t="shared" ca="1" si="50"/>
        <v>15.148116666666667</v>
      </c>
      <c r="D1135" s="67">
        <f t="shared" ca="1" si="50"/>
        <v>15.152666666666667</v>
      </c>
      <c r="E1135" s="67">
        <f t="shared" ca="1" si="50"/>
        <v>17.182508333333335</v>
      </c>
      <c r="F1135" s="67">
        <f t="shared" ca="1" si="50"/>
        <v>17.182508333333335</v>
      </c>
      <c r="G1135" s="67">
        <f t="shared" ca="1" si="50"/>
        <v>17.188091666666665</v>
      </c>
      <c r="H1135" s="67">
        <f t="shared" ca="1" si="50"/>
        <v>26.760924999999997</v>
      </c>
      <c r="I1135" s="67">
        <f t="shared" ca="1" si="50"/>
        <v>26.766500000000004</v>
      </c>
      <c r="J1135" s="67">
        <f t="shared" ca="1" si="50"/>
        <v>17.182508333333335</v>
      </c>
      <c r="K1135" s="67">
        <f t="shared" ca="1" si="50"/>
        <v>17.188091666666665</v>
      </c>
    </row>
    <row r="1136" spans="1:11" ht="15">
      <c r="A1136" s="3">
        <v>2088</v>
      </c>
      <c r="B1136" s="67">
        <f t="shared" ca="1" si="50"/>
        <v>15.385741666666663</v>
      </c>
      <c r="C1136" s="67">
        <f t="shared" ca="1" si="50"/>
        <v>15.385741666666663</v>
      </c>
      <c r="D1136" s="67">
        <f t="shared" ca="1" si="50"/>
        <v>15.390291666666664</v>
      </c>
      <c r="E1136" s="67">
        <f t="shared" ca="1" si="50"/>
        <v>17.439516666666666</v>
      </c>
      <c r="F1136" s="67">
        <f t="shared" ca="1" si="50"/>
        <v>17.439516666666666</v>
      </c>
      <c r="G1136" s="67">
        <f t="shared" ca="1" si="50"/>
        <v>17.445108333333334</v>
      </c>
      <c r="H1136" s="67">
        <f t="shared" ca="1" si="50"/>
        <v>27.1692</v>
      </c>
      <c r="I1136" s="67">
        <f t="shared" ca="1" si="50"/>
        <v>27.174799999999994</v>
      </c>
      <c r="J1136" s="67">
        <f t="shared" ca="1" si="50"/>
        <v>17.439516666666666</v>
      </c>
      <c r="K1136" s="67">
        <f t="shared" ca="1" si="50"/>
        <v>17.445108333333334</v>
      </c>
    </row>
    <row r="1137" spans="1:11" ht="15">
      <c r="A1137" s="3">
        <v>2089</v>
      </c>
      <c r="B1137" s="67">
        <f t="shared" ca="1" si="50"/>
        <v>15.623341666666667</v>
      </c>
      <c r="C1137" s="67">
        <f t="shared" ca="1" si="50"/>
        <v>15.623341666666667</v>
      </c>
      <c r="D1137" s="67">
        <f t="shared" ca="1" si="50"/>
        <v>15.627875000000003</v>
      </c>
      <c r="E1137" s="67">
        <f t="shared" ca="1" si="50"/>
        <v>17.696524999999998</v>
      </c>
      <c r="F1137" s="67">
        <f t="shared" ca="1" si="50"/>
        <v>17.696524999999998</v>
      </c>
      <c r="G1137" s="67">
        <f t="shared" ca="1" si="50"/>
        <v>17.702108333333335</v>
      </c>
      <c r="H1137" s="67">
        <f t="shared" ca="1" si="50"/>
        <v>27.577491666666663</v>
      </c>
      <c r="I1137" s="67">
        <f t="shared" ca="1" si="50"/>
        <v>27.583075000000004</v>
      </c>
      <c r="J1137" s="67">
        <f t="shared" ca="1" si="50"/>
        <v>17.696524999999998</v>
      </c>
      <c r="K1137" s="67">
        <f t="shared" ca="1" si="50"/>
        <v>17.702108333333335</v>
      </c>
    </row>
    <row r="1138" spans="1:11" ht="15">
      <c r="A1138" s="3">
        <v>2090</v>
      </c>
      <c r="B1138" s="67">
        <f t="shared" ca="1" si="50"/>
        <v>15.860966666666668</v>
      </c>
      <c r="C1138" s="67">
        <f t="shared" ca="1" si="50"/>
        <v>15.860966666666668</v>
      </c>
      <c r="D1138" s="67">
        <f t="shared" ca="1" si="50"/>
        <v>15.865516666666664</v>
      </c>
      <c r="E1138" s="67">
        <f t="shared" ca="1" si="50"/>
        <v>17.953533333333333</v>
      </c>
      <c r="F1138" s="67">
        <f t="shared" ca="1" si="50"/>
        <v>17.953533333333333</v>
      </c>
      <c r="G1138" s="67">
        <f t="shared" ca="1" si="50"/>
        <v>17.959108333333333</v>
      </c>
      <c r="H1138" s="67">
        <f t="shared" ca="1" si="50"/>
        <v>27.985791666666668</v>
      </c>
      <c r="I1138" s="67">
        <f t="shared" ca="1" si="50"/>
        <v>27.991375000000001</v>
      </c>
      <c r="J1138" s="67">
        <f t="shared" ca="1" si="50"/>
        <v>17.953533333333333</v>
      </c>
      <c r="K1138" s="67">
        <f t="shared" ca="1" si="50"/>
        <v>17.959108333333333</v>
      </c>
    </row>
    <row r="1139" spans="1:11" ht="15">
      <c r="A1139" s="3">
        <v>2091</v>
      </c>
      <c r="B1139" s="67">
        <f t="shared" ca="1" si="50"/>
        <v>16.098591666666668</v>
      </c>
      <c r="C1139" s="67">
        <f t="shared" ca="1" si="50"/>
        <v>16.098591666666668</v>
      </c>
      <c r="D1139" s="67">
        <f t="shared" ca="1" si="50"/>
        <v>16.103125000000002</v>
      </c>
      <c r="E1139" s="67">
        <f t="shared" ca="1" si="50"/>
        <v>18.210533333333338</v>
      </c>
      <c r="F1139" s="67">
        <f t="shared" ca="1" si="50"/>
        <v>18.210533333333338</v>
      </c>
      <c r="G1139" s="67">
        <f t="shared" ca="1" si="50"/>
        <v>18.216141666666665</v>
      </c>
      <c r="H1139" s="67">
        <f t="shared" ca="1" si="50"/>
        <v>28.394075000000001</v>
      </c>
      <c r="I1139" s="67">
        <f t="shared" ca="1" si="50"/>
        <v>28.399675000000002</v>
      </c>
      <c r="J1139" s="67">
        <f t="shared" ca="1" si="50"/>
        <v>18.210533333333338</v>
      </c>
      <c r="K1139" s="67">
        <f t="shared" ca="1" si="50"/>
        <v>18.216141666666665</v>
      </c>
    </row>
    <row r="1140" spans="1:11" ht="15">
      <c r="A1140" s="3">
        <v>2092</v>
      </c>
      <c r="B1140" s="67">
        <f t="shared" ref="B1140:K1148" ca="1" si="51">AVERAGE(OFFSET(B$593,($A1140-$A$1110)*12,0,12,1))</f>
        <v>16.336183333333331</v>
      </c>
      <c r="C1140" s="67">
        <f t="shared" ca="1" si="51"/>
        <v>16.336183333333331</v>
      </c>
      <c r="D1140" s="67">
        <f t="shared" ca="1" si="51"/>
        <v>16.340733333333336</v>
      </c>
      <c r="E1140" s="67">
        <f t="shared" ca="1" si="51"/>
        <v>18.467549999999999</v>
      </c>
      <c r="F1140" s="67">
        <f t="shared" ca="1" si="51"/>
        <v>18.467549999999999</v>
      </c>
      <c r="G1140" s="67">
        <f t="shared" ca="1" si="51"/>
        <v>18.473141666666667</v>
      </c>
      <c r="H1140" s="67">
        <f t="shared" ca="1" si="51"/>
        <v>28.802383333333339</v>
      </c>
      <c r="I1140" s="67">
        <f t="shared" ca="1" si="51"/>
        <v>28.807966666666669</v>
      </c>
      <c r="J1140" s="67">
        <f t="shared" ca="1" si="51"/>
        <v>18.467549999999999</v>
      </c>
      <c r="K1140" s="67">
        <f t="shared" ca="1" si="51"/>
        <v>18.473141666666667</v>
      </c>
    </row>
    <row r="1141" spans="1:11" ht="15">
      <c r="A1141" s="3">
        <v>2093</v>
      </c>
      <c r="B1141" s="67">
        <f t="shared" ca="1" si="51"/>
        <v>16.573799999999999</v>
      </c>
      <c r="C1141" s="67">
        <f t="shared" ca="1" si="51"/>
        <v>16.573799999999999</v>
      </c>
      <c r="D1141" s="67">
        <f t="shared" ca="1" si="51"/>
        <v>16.578358333333338</v>
      </c>
      <c r="E1141" s="67">
        <f t="shared" ca="1" si="51"/>
        <v>18.724558333333331</v>
      </c>
      <c r="F1141" s="67">
        <f t="shared" ca="1" si="51"/>
        <v>18.724558333333331</v>
      </c>
      <c r="G1141" s="67">
        <f t="shared" ca="1" si="51"/>
        <v>18.730158333333335</v>
      </c>
      <c r="H1141" s="67">
        <f t="shared" ca="1" si="51"/>
        <v>29.210666666666665</v>
      </c>
      <c r="I1141" s="67">
        <f t="shared" ca="1" si="51"/>
        <v>29.216250000000002</v>
      </c>
      <c r="J1141" s="67">
        <f t="shared" ca="1" si="51"/>
        <v>18.724558333333331</v>
      </c>
      <c r="K1141" s="67">
        <f t="shared" ca="1" si="51"/>
        <v>18.730158333333335</v>
      </c>
    </row>
    <row r="1142" spans="1:11" ht="15">
      <c r="A1142" s="3">
        <v>2094</v>
      </c>
      <c r="B1142" s="67">
        <f t="shared" ca="1" si="51"/>
        <v>16.81141666666667</v>
      </c>
      <c r="C1142" s="67">
        <f t="shared" ca="1" si="51"/>
        <v>16.81141666666667</v>
      </c>
      <c r="D1142" s="67">
        <f t="shared" ca="1" si="51"/>
        <v>16.815958333333331</v>
      </c>
      <c r="E1142" s="67">
        <f t="shared" ca="1" si="51"/>
        <v>18.981583333333333</v>
      </c>
      <c r="F1142" s="67">
        <f t="shared" ca="1" si="51"/>
        <v>18.981583333333333</v>
      </c>
      <c r="G1142" s="67">
        <f t="shared" ca="1" si="51"/>
        <v>18.98715</v>
      </c>
      <c r="H1142" s="67">
        <f t="shared" ca="1" si="51"/>
        <v>29.618958333333335</v>
      </c>
      <c r="I1142" s="67">
        <f t="shared" ca="1" si="51"/>
        <v>29.624541666666662</v>
      </c>
      <c r="J1142" s="67">
        <f t="shared" ca="1" si="51"/>
        <v>18.981583333333333</v>
      </c>
      <c r="K1142" s="67">
        <f t="shared" ca="1" si="51"/>
        <v>18.98715</v>
      </c>
    </row>
    <row r="1143" spans="1:11" ht="15">
      <c r="A1143" s="3">
        <v>2095</v>
      </c>
      <c r="B1143" s="67">
        <f t="shared" ca="1" si="51"/>
        <v>17.049025</v>
      </c>
      <c r="C1143" s="67">
        <f t="shared" ca="1" si="51"/>
        <v>17.049025</v>
      </c>
      <c r="D1143" s="67">
        <f t="shared" ca="1" si="51"/>
        <v>17.053583333333332</v>
      </c>
      <c r="E1143" s="67">
        <f t="shared" ca="1" si="51"/>
        <v>19.238591666666668</v>
      </c>
      <c r="F1143" s="67">
        <f t="shared" ca="1" si="51"/>
        <v>19.238591666666668</v>
      </c>
      <c r="G1143" s="67">
        <f t="shared" ca="1" si="51"/>
        <v>19.244158333333331</v>
      </c>
      <c r="H1143" s="67">
        <f t="shared" ca="1" si="51"/>
        <v>30.027233333333331</v>
      </c>
      <c r="I1143" s="67">
        <f t="shared" ca="1" si="51"/>
        <v>30.032833333333333</v>
      </c>
      <c r="J1143" s="67">
        <f t="shared" ca="1" si="51"/>
        <v>19.238591666666668</v>
      </c>
      <c r="K1143" s="67">
        <f t="shared" ca="1" si="51"/>
        <v>19.244158333333331</v>
      </c>
    </row>
    <row r="1144" spans="1:11" ht="15">
      <c r="A1144" s="3">
        <v>2096</v>
      </c>
      <c r="B1144" s="67">
        <f t="shared" ca="1" si="51"/>
        <v>17.286658333333332</v>
      </c>
      <c r="C1144" s="67">
        <f t="shared" ca="1" si="51"/>
        <v>17.286658333333332</v>
      </c>
      <c r="D1144" s="67">
        <f t="shared" ca="1" si="51"/>
        <v>17.291191666666666</v>
      </c>
      <c r="E1144" s="67">
        <f t="shared" ca="1" si="51"/>
        <v>19.49559166666667</v>
      </c>
      <c r="F1144" s="67">
        <f t="shared" ca="1" si="51"/>
        <v>19.49559166666667</v>
      </c>
      <c r="G1144" s="67">
        <f t="shared" ca="1" si="51"/>
        <v>19.501183333333334</v>
      </c>
      <c r="H1144" s="67">
        <f t="shared" ca="1" si="51"/>
        <v>30.435533333333328</v>
      </c>
      <c r="I1144" s="67">
        <f t="shared" ca="1" si="51"/>
        <v>30.441108333333332</v>
      </c>
      <c r="J1144" s="67">
        <f t="shared" ca="1" si="51"/>
        <v>19.49559166666667</v>
      </c>
      <c r="K1144" s="67">
        <f t="shared" ca="1" si="51"/>
        <v>19.501183333333334</v>
      </c>
    </row>
    <row r="1145" spans="1:11" ht="15">
      <c r="A1145" s="3">
        <v>2097</v>
      </c>
      <c r="B1145" s="67">
        <f t="shared" ca="1" si="51"/>
        <v>17.524258333333332</v>
      </c>
      <c r="C1145" s="67">
        <f t="shared" ca="1" si="51"/>
        <v>17.524258333333332</v>
      </c>
      <c r="D1145" s="67">
        <f t="shared" ca="1" si="51"/>
        <v>17.528816666666668</v>
      </c>
      <c r="E1145" s="67">
        <f t="shared" ca="1" si="51"/>
        <v>19.752591666666664</v>
      </c>
      <c r="F1145" s="67">
        <f t="shared" ca="1" si="51"/>
        <v>19.752591666666664</v>
      </c>
      <c r="G1145" s="67">
        <f t="shared" ca="1" si="51"/>
        <v>19.758191666666669</v>
      </c>
      <c r="H1145" s="67">
        <f t="shared" ca="1" si="51"/>
        <v>30.843825000000006</v>
      </c>
      <c r="I1145" s="67">
        <f t="shared" ca="1" si="51"/>
        <v>30.849425</v>
      </c>
      <c r="J1145" s="67">
        <f t="shared" ca="1" si="51"/>
        <v>19.752591666666664</v>
      </c>
      <c r="K1145" s="67">
        <f t="shared" ca="1" si="51"/>
        <v>19.758191666666669</v>
      </c>
    </row>
    <row r="1146" spans="1:11" ht="15">
      <c r="A1146" s="3">
        <v>2098</v>
      </c>
      <c r="B1146" s="67">
        <f t="shared" ca="1" si="51"/>
        <v>17.761866666666666</v>
      </c>
      <c r="C1146" s="67">
        <f t="shared" ca="1" si="51"/>
        <v>17.761866666666666</v>
      </c>
      <c r="D1146" s="67">
        <f t="shared" ca="1" si="51"/>
        <v>17.766424999999998</v>
      </c>
      <c r="E1146" s="67">
        <f t="shared" ca="1" si="51"/>
        <v>20.009608333333329</v>
      </c>
      <c r="F1146" s="67">
        <f t="shared" ca="1" si="51"/>
        <v>20.009608333333329</v>
      </c>
      <c r="G1146" s="67">
        <f t="shared" ca="1" si="51"/>
        <v>20.015199999999997</v>
      </c>
      <c r="H1146" s="67">
        <f t="shared" ca="1" si="51"/>
        <v>31.252108333333339</v>
      </c>
      <c r="I1146" s="67">
        <f t="shared" ca="1" si="51"/>
        <v>31.2577</v>
      </c>
      <c r="J1146" s="67">
        <f t="shared" ca="1" si="51"/>
        <v>20.009608333333329</v>
      </c>
      <c r="K1146" s="67">
        <f t="shared" ca="1" si="51"/>
        <v>20.015199999999997</v>
      </c>
    </row>
    <row r="1147" spans="1:11" ht="15">
      <c r="A1147" s="3">
        <v>2099</v>
      </c>
      <c r="B1147" s="67">
        <f t="shared" ca="1" si="51"/>
        <v>17.999491666666668</v>
      </c>
      <c r="C1147" s="67">
        <f t="shared" ca="1" si="51"/>
        <v>17.999491666666668</v>
      </c>
      <c r="D1147" s="67">
        <f t="shared" ca="1" si="51"/>
        <v>18.004033333333332</v>
      </c>
      <c r="E1147" s="67">
        <f t="shared" ca="1" si="51"/>
        <v>20.266633333333331</v>
      </c>
      <c r="F1147" s="67">
        <f t="shared" ca="1" si="51"/>
        <v>20.266633333333331</v>
      </c>
      <c r="G1147" s="67">
        <f t="shared" ca="1" si="51"/>
        <v>20.272199999999998</v>
      </c>
      <c r="H1147" s="67">
        <f t="shared" ca="1" si="51"/>
        <v>31.660416666666663</v>
      </c>
      <c r="I1147" s="67">
        <f t="shared" ca="1" si="51"/>
        <v>31.66599166666666</v>
      </c>
      <c r="J1147" s="67">
        <f t="shared" ca="1" si="51"/>
        <v>20.266633333333331</v>
      </c>
      <c r="K1147" s="67">
        <f t="shared" ca="1" si="51"/>
        <v>20.272199999999998</v>
      </c>
    </row>
    <row r="1148" spans="1:11" ht="15">
      <c r="A1148" s="3">
        <v>2100</v>
      </c>
      <c r="B1148" s="67">
        <f t="shared" ca="1" si="51"/>
        <v>18.237108333333328</v>
      </c>
      <c r="C1148" s="67">
        <f t="shared" ca="1" si="51"/>
        <v>18.237108333333328</v>
      </c>
      <c r="D1148" s="67">
        <f t="shared" ca="1" si="51"/>
        <v>18.241650000000003</v>
      </c>
      <c r="E1148" s="67">
        <f t="shared" ca="1" si="51"/>
        <v>20.523624999999999</v>
      </c>
      <c r="F1148" s="67">
        <f t="shared" ca="1" si="51"/>
        <v>20.523624999999999</v>
      </c>
      <c r="G1148" s="67">
        <f t="shared" ca="1" si="51"/>
        <v>20.529216666666667</v>
      </c>
      <c r="H1148" s="67">
        <f t="shared" ca="1" si="51"/>
        <v>32.068691666666673</v>
      </c>
      <c r="I1148" s="67">
        <f t="shared" ca="1" si="51"/>
        <v>32.074300000000001</v>
      </c>
      <c r="J1148" s="67">
        <f t="shared" ca="1" si="51"/>
        <v>20.523624999999999</v>
      </c>
      <c r="K1148" s="67">
        <f t="shared" ca="1" si="51"/>
        <v>20.529216666666667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5" scale="7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workbookViewId="0">
      <selection activeCell="A6" sqref="A6"/>
    </sheetView>
  </sheetViews>
  <sheetFormatPr defaultColWidth="8.88671875" defaultRowHeight="15.75"/>
  <cols>
    <col min="1" max="1" width="8.88671875" style="80"/>
    <col min="2" max="2" width="15.5546875" style="80" bestFit="1" customWidth="1"/>
    <col min="3" max="3" width="9.5546875" style="80" bestFit="1" customWidth="1"/>
    <col min="4" max="16384" width="8.88671875" style="80"/>
  </cols>
  <sheetData>
    <row r="1" spans="1:3">
      <c r="A1" s="88" t="s">
        <v>64</v>
      </c>
    </row>
    <row r="2" spans="1:3">
      <c r="A2" s="88" t="s">
        <v>65</v>
      </c>
    </row>
    <row r="3" spans="1:3">
      <c r="A3" s="88" t="s">
        <v>66</v>
      </c>
    </row>
    <row r="4" spans="1:3">
      <c r="A4" s="88" t="s">
        <v>67</v>
      </c>
    </row>
    <row r="5" spans="1:3">
      <c r="A5" s="88" t="s">
        <v>73</v>
      </c>
    </row>
    <row r="6" spans="1:3">
      <c r="A6" s="88" t="s">
        <v>70</v>
      </c>
    </row>
    <row r="8" spans="1:3">
      <c r="B8" s="85" t="s">
        <v>63</v>
      </c>
      <c r="C8" s="85" t="s">
        <v>54</v>
      </c>
    </row>
    <row r="9" spans="1:3">
      <c r="B9" s="87" t="s">
        <v>61</v>
      </c>
      <c r="C9" s="97">
        <v>2</v>
      </c>
    </row>
    <row r="10" spans="1:3">
      <c r="B10" s="87" t="s">
        <v>60</v>
      </c>
      <c r="C10" s="99"/>
    </row>
    <row r="11" spans="1:3">
      <c r="B11" s="86" t="s">
        <v>59</v>
      </c>
      <c r="C11" s="98"/>
    </row>
    <row r="14" spans="1:3">
      <c r="B14" s="85" t="s">
        <v>55</v>
      </c>
      <c r="C14" s="85" t="s">
        <v>54</v>
      </c>
    </row>
    <row r="15" spans="1:3">
      <c r="B15" s="87" t="s">
        <v>61</v>
      </c>
      <c r="C15" s="97">
        <v>2</v>
      </c>
    </row>
    <row r="16" spans="1:3">
      <c r="B16" s="87" t="s">
        <v>60</v>
      </c>
      <c r="C16" s="99"/>
    </row>
    <row r="17" spans="2:3">
      <c r="B17" s="86" t="s">
        <v>59</v>
      </c>
      <c r="C17" s="98"/>
    </row>
    <row r="21" spans="2:3">
      <c r="B21" s="85" t="s">
        <v>62</v>
      </c>
      <c r="C21" s="85" t="s">
        <v>54</v>
      </c>
    </row>
    <row r="22" spans="2:3">
      <c r="B22" s="87" t="s">
        <v>61</v>
      </c>
      <c r="C22" s="97">
        <v>2</v>
      </c>
    </row>
    <row r="23" spans="2:3">
      <c r="B23" s="87" t="s">
        <v>60</v>
      </c>
      <c r="C23" s="99"/>
    </row>
    <row r="24" spans="2:3">
      <c r="B24" s="86" t="s">
        <v>59</v>
      </c>
      <c r="C24" s="98"/>
    </row>
    <row r="27" spans="2:3">
      <c r="B27" s="85" t="s">
        <v>58</v>
      </c>
      <c r="C27" s="85" t="s">
        <v>54</v>
      </c>
    </row>
    <row r="28" spans="2:3">
      <c r="B28" s="84" t="s">
        <v>57</v>
      </c>
      <c r="C28" s="97">
        <v>1</v>
      </c>
    </row>
    <row r="29" spans="2:3">
      <c r="B29" s="83" t="s">
        <v>56</v>
      </c>
      <c r="C29" s="98"/>
    </row>
    <row r="31" spans="2:3">
      <c r="B31" s="85" t="s">
        <v>55</v>
      </c>
      <c r="C31" s="85" t="s">
        <v>54</v>
      </c>
    </row>
    <row r="32" spans="2:3">
      <c r="B32" s="84" t="s">
        <v>53</v>
      </c>
      <c r="C32" s="97">
        <v>1</v>
      </c>
    </row>
    <row r="33" spans="2:5">
      <c r="B33" s="83" t="s">
        <v>52</v>
      </c>
      <c r="C33" s="98"/>
    </row>
    <row r="37" spans="2:5">
      <c r="C37" s="82"/>
      <c r="E37" s="81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2016-07-29T16:31:24Z</dcterms:created>
  <dcterms:modified xsi:type="dcterms:W3CDTF">2016-07-29T16:32:46Z</dcterms:modified>
</cp:coreProperties>
</file>